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60" windowWidth="16500" windowHeight="9930" tabRatio="847" activeTab="1"/>
  </bookViews>
  <sheets>
    <sheet name="Spec's" sheetId="1" r:id="rId1"/>
    <sheet name="Limited SPL" sheetId="2" r:id="rId2"/>
    <sheet name="Vp &amp; Ip" sheetId="3" r:id="rId3"/>
    <sheet name="Power &amp; SPL" sheetId="4" r:id="rId4"/>
    <sheet name="SPL @ 2.83V" sheetId="5" r:id="rId5"/>
    <sheet name="SPL &amp; Ip @ 10Vp" sheetId="6" r:id="rId6"/>
    <sheet name="max SPL @ Vpeak" sheetId="7" r:id="rId7"/>
    <sheet name="Impedance" sheetId="8" r:id="rId8"/>
    <sheet name="Test" sheetId="9" r:id="rId9"/>
    <sheet name="EQ" sheetId="10" r:id="rId10"/>
  </sheets>
  <definedNames/>
  <calcPr fullCalcOnLoad="1"/>
</workbook>
</file>

<file path=xl/sharedStrings.xml><?xml version="1.0" encoding="utf-8"?>
<sst xmlns="http://schemas.openxmlformats.org/spreadsheetml/2006/main" count="296" uniqueCount="169">
  <si>
    <t>Re =</t>
  </si>
  <si>
    <t>Le =</t>
  </si>
  <si>
    <t xml:space="preserve">Fs = </t>
  </si>
  <si>
    <t>Qms =</t>
  </si>
  <si>
    <t>Qes =</t>
  </si>
  <si>
    <t>Qts =</t>
  </si>
  <si>
    <t>Rms =</t>
  </si>
  <si>
    <t>Mms =</t>
  </si>
  <si>
    <t>VAS =</t>
  </si>
  <si>
    <t>Cms =</t>
  </si>
  <si>
    <t>Sd =</t>
  </si>
  <si>
    <t>Bl =</t>
  </si>
  <si>
    <t>ohm</t>
  </si>
  <si>
    <t>mH</t>
  </si>
  <si>
    <t>Hz</t>
  </si>
  <si>
    <t>Ns/m</t>
  </si>
  <si>
    <t>mm/N</t>
  </si>
  <si>
    <t>ltr</t>
  </si>
  <si>
    <t>Fb =</t>
  </si>
  <si>
    <t>L =</t>
  </si>
  <si>
    <t>C =</t>
  </si>
  <si>
    <t>R =</t>
  </si>
  <si>
    <t>Cms' =</t>
  </si>
  <si>
    <t>VAS' =</t>
  </si>
  <si>
    <t>uF</t>
  </si>
  <si>
    <t>Qb =</t>
  </si>
  <si>
    <t>Qm =</t>
  </si>
  <si>
    <t>Qe =</t>
  </si>
  <si>
    <t>Qt =</t>
  </si>
  <si>
    <t>Cmb =</t>
  </si>
  <si>
    <t>Rmb =</t>
  </si>
  <si>
    <t>Reb =</t>
  </si>
  <si>
    <t>1 - Driver data</t>
  </si>
  <si>
    <t>2 - Box data</t>
  </si>
  <si>
    <t>3 - Driver in box</t>
  </si>
  <si>
    <t>Model =</t>
  </si>
  <si>
    <t>Int. vol. =</t>
  </si>
  <si>
    <t>real 1 =</t>
  </si>
  <si>
    <t>real 2 =</t>
  </si>
  <si>
    <t>real =</t>
  </si>
  <si>
    <t xml:space="preserve">1a - Pole location (Qts &lt; 0.5) </t>
  </si>
  <si>
    <t>1b - Pole location (Qts &gt; 0.5)</t>
  </si>
  <si>
    <t xml:space="preserve">3a - Pole location (Qt &lt; 0.5) </t>
  </si>
  <si>
    <t>3b - Pole location (Qt &gt; 0.5)</t>
  </si>
  <si>
    <t>+/- imag =</t>
  </si>
  <si>
    <t>Xmax =</t>
  </si>
  <si>
    <t>mm</t>
  </si>
  <si>
    <t>4 - Driver in box model</t>
  </si>
  <si>
    <t>Freq</t>
  </si>
  <si>
    <t>Real</t>
  </si>
  <si>
    <t>Imag</t>
  </si>
  <si>
    <t>j-ohm</t>
  </si>
  <si>
    <t>Magn</t>
  </si>
  <si>
    <t>mm/V</t>
  </si>
  <si>
    <t>VA</t>
  </si>
  <si>
    <t>A</t>
  </si>
  <si>
    <t>W</t>
  </si>
  <si>
    <t xml:space="preserve"> </t>
  </si>
  <si>
    <t>SPL @ 1m</t>
  </si>
  <si>
    <t>free-space</t>
  </si>
  <si>
    <t>dB</t>
  </si>
  <si>
    <t>Frequ.</t>
  </si>
  <si>
    <t>VpIp/2</t>
  </si>
  <si>
    <t>Vpeak</t>
  </si>
  <si>
    <t>Ipeak</t>
  </si>
  <si>
    <t>V</t>
  </si>
  <si>
    <t>8 ohm equiv. power</t>
  </si>
  <si>
    <t>at Vp</t>
  </si>
  <si>
    <t>at Ip</t>
  </si>
  <si>
    <t>ohm *</t>
  </si>
  <si>
    <t>N/A *</t>
  </si>
  <si>
    <t>Ns/m *</t>
  </si>
  <si>
    <t>g *</t>
  </si>
  <si>
    <t>mm/N *</t>
  </si>
  <si>
    <t>cm2 *</t>
  </si>
  <si>
    <t>mm *</t>
  </si>
  <si>
    <t>mH *</t>
  </si>
  <si>
    <t xml:space="preserve">© LINKWITZ LAB </t>
  </si>
  <si>
    <t>* = required parameters</t>
  </si>
  <si>
    <t>Leb =</t>
  </si>
  <si>
    <t>Displacmt.</t>
  </si>
  <si>
    <t>sensitivity</t>
  </si>
  <si>
    <t>5 - Target response</t>
  </si>
  <si>
    <t xml:space="preserve">fp = </t>
  </si>
  <si>
    <t>Qp =</t>
  </si>
  <si>
    <t>F3db =</t>
  </si>
  <si>
    <t>6 - Equalizer poles and zeros</t>
  </si>
  <si>
    <t>fp =</t>
  </si>
  <si>
    <t>Qt &lt; 0.5</t>
  </si>
  <si>
    <t>f01 =</t>
  </si>
  <si>
    <t>f02 =</t>
  </si>
  <si>
    <t>Qt &gt; 0.5</t>
  </si>
  <si>
    <t>f0 =</t>
  </si>
  <si>
    <t>Q0 =</t>
  </si>
  <si>
    <t>Sensitivity =</t>
  </si>
  <si>
    <t>dB @ 2.83V</t>
  </si>
  <si>
    <t>Target</t>
  </si>
  <si>
    <t>Equalizer</t>
  </si>
  <si>
    <t>Ref.</t>
  </si>
  <si>
    <t>Rdc =</t>
  </si>
  <si>
    <t>Rmax =</t>
  </si>
  <si>
    <t>R12 =</t>
  </si>
  <si>
    <t>F1 =</t>
  </si>
  <si>
    <t>F2 =</t>
  </si>
  <si>
    <t xml:space="preserve"> Fmax =</t>
  </si>
  <si>
    <t>F0 =</t>
  </si>
  <si>
    <t xml:space="preserve">1a - Pole location (Q0 &lt; 0.5) </t>
  </si>
  <si>
    <t>Qt = Q0 =</t>
  </si>
  <si>
    <t>?</t>
  </si>
  <si>
    <t>1b - Pole location (Q0 &gt; 0.5)</t>
  </si>
  <si>
    <r>
      <t xml:space="preserve">1 - F0, Q0 from </t>
    </r>
    <r>
      <rPr>
        <b/>
        <sz val="10"/>
        <rFont val="Arial"/>
        <family val="2"/>
      </rPr>
      <t>measured</t>
    </r>
    <r>
      <rPr>
        <sz val="10"/>
        <rFont val="Arial"/>
        <family val="0"/>
      </rPr>
      <t xml:space="preserve"> values</t>
    </r>
  </si>
  <si>
    <t>Frequ</t>
  </si>
  <si>
    <t>%</t>
  </si>
  <si>
    <t>Zin</t>
  </si>
  <si>
    <t>Rdc</t>
  </si>
  <si>
    <t>Rmax</t>
  </si>
  <si>
    <t>R12</t>
  </si>
  <si>
    <t>Graph</t>
  </si>
  <si>
    <t>Start =</t>
  </si>
  <si>
    <t>Incremt =</t>
  </si>
  <si>
    <t>© LINKWITZ LAB</t>
  </si>
  <si>
    <t>7/18/01</t>
  </si>
  <si>
    <t>Graph - Frequency axis</t>
  </si>
  <si>
    <t>(Replace bold faced numbers with your own data)</t>
  </si>
  <si>
    <t>in^3</t>
  </si>
  <si>
    <t>ltr   --&gt;</t>
  </si>
  <si>
    <t>in^3   --&gt;</t>
  </si>
  <si>
    <t>ft^3</t>
  </si>
  <si>
    <t>Conversions</t>
  </si>
  <si>
    <t>a - Driver Impedance</t>
  </si>
  <si>
    <t>b - In-box impedance</t>
  </si>
  <si>
    <t>c - For 1V</t>
  </si>
  <si>
    <t>d - For Xmax =</t>
  </si>
  <si>
    <t>e - For 2.83V</t>
  </si>
  <si>
    <t>Determination of F0, Q0 from a terminal impedance measurement</t>
  </si>
  <si>
    <t>Closed box woofer design</t>
  </si>
  <si>
    <t xml:space="preserve">2 - Terminal impedance model </t>
  </si>
  <si>
    <t>d2 =</t>
  </si>
  <si>
    <t>Box air spring distortion at Xmax</t>
  </si>
  <si>
    <t>(approximate value for 2nd harmonic)</t>
  </si>
  <si>
    <t>Box internal SPL at Xmax</t>
  </si>
  <si>
    <t>SPL =</t>
  </si>
  <si>
    <t>m^3</t>
  </si>
  <si>
    <t>Volume =</t>
  </si>
  <si>
    <t>ft^3  --&gt;</t>
  </si>
  <si>
    <t>Closed room SPL at Xmax</t>
  </si>
  <si>
    <t>(Below lowest mode frequency)</t>
  </si>
  <si>
    <t>f - For 10Vpeak</t>
  </si>
  <si>
    <t>k =</t>
  </si>
  <si>
    <t>&gt;0  for LT</t>
  </si>
  <si>
    <t>P =</t>
  </si>
  <si>
    <t>Rload =</t>
  </si>
  <si>
    <t>7 - Power amplifier spec's</t>
  </si>
  <si>
    <t>Ipeak =</t>
  </si>
  <si>
    <t>Vpeak =</t>
  </si>
  <si>
    <t>8 - Dipole path length</t>
  </si>
  <si>
    <t>D =</t>
  </si>
  <si>
    <t xml:space="preserve">Fequal = </t>
  </si>
  <si>
    <t>g - max SPL for amplifier with Vpeak =</t>
  </si>
  <si>
    <t>h - Dipole</t>
  </si>
  <si>
    <t>7/16/01 SL</t>
  </si>
  <si>
    <t xml:space="preserve">7/2/02 SL </t>
  </si>
  <si>
    <t>3/9/03 SL</t>
  </si>
  <si>
    <t>Imax =</t>
  </si>
  <si>
    <t>V @ Rload</t>
  </si>
  <si>
    <t>A @ Rload</t>
  </si>
  <si>
    <t>5/2/03 SL</t>
  </si>
  <si>
    <t>Revision</t>
  </si>
  <si>
    <t>Peerless 830668 - SLS 10"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</si>
</sst>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8"/>
      <name val="Arial"/>
      <family val="0"/>
    </font>
    <font>
      <sz val="10.5"/>
      <name val="Arial"/>
      <family val="2"/>
    </font>
    <font>
      <b/>
      <sz val="10.5"/>
      <name val="Arial"/>
      <family val="2"/>
    </font>
    <font>
      <sz val="16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1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2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6" xfId="0" applyBorder="1" applyAlignment="1" quotePrefix="1">
      <alignment horizontal="righ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2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4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 horizontal="center"/>
    </xf>
    <xf numFmtId="164" fontId="1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164" fontId="0" fillId="0" borderId="2" xfId="0" applyNumberFormat="1" applyBorder="1" applyAlignment="1">
      <alignment horizontal="center"/>
    </xf>
    <xf numFmtId="0" fontId="0" fillId="0" borderId="12" xfId="0" applyBorder="1" applyAlignment="1">
      <alignment horizontal="right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chartsheet" Target="chart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Vp, Imax &amp; Xmax limited SPL</a:t>
            </a:r>
          </a:p>
        </c:rich>
      </c:tx>
      <c:layout>
        <c:manualLayout>
          <c:xMode val="factor"/>
          <c:yMode val="factor"/>
          <c:x val="-0.014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0275"/>
          <c:w val="0.87275"/>
          <c:h val="0.84175"/>
        </c:manualLayout>
      </c:layout>
      <c:lineChart>
        <c:grouping val="standard"/>
        <c:varyColors val="0"/>
        <c:ser>
          <c:idx val="1"/>
          <c:order val="1"/>
          <c:tx>
            <c:v>Vp Ip/2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'Spec''s'!$AD$35:$AD$62</c:f>
              <c:numCache>
                <c:ptCount val="28"/>
                <c:pt idx="0">
                  <c:v>131.061756435659</c:v>
                </c:pt>
                <c:pt idx="1">
                  <c:v>131.061756435659</c:v>
                </c:pt>
                <c:pt idx="2">
                  <c:v>131.061756435659</c:v>
                </c:pt>
                <c:pt idx="3">
                  <c:v>131.061756435659</c:v>
                </c:pt>
                <c:pt idx="4">
                  <c:v>131.061756435659</c:v>
                </c:pt>
                <c:pt idx="5">
                  <c:v>131.061756435659</c:v>
                </c:pt>
                <c:pt idx="6">
                  <c:v>131.061756435659</c:v>
                </c:pt>
                <c:pt idx="7">
                  <c:v>131.061756435659</c:v>
                </c:pt>
                <c:pt idx="8">
                  <c:v>131.061756435659</c:v>
                </c:pt>
                <c:pt idx="9">
                  <c:v>131.061756435659</c:v>
                </c:pt>
                <c:pt idx="10">
                  <c:v>131.061756435659</c:v>
                </c:pt>
                <c:pt idx="11">
                  <c:v>131.061756435659</c:v>
                </c:pt>
                <c:pt idx="12">
                  <c:v>131.061756435659</c:v>
                </c:pt>
                <c:pt idx="13">
                  <c:v>131.061756435659</c:v>
                </c:pt>
                <c:pt idx="14">
                  <c:v>131.061756435659</c:v>
                </c:pt>
                <c:pt idx="15">
                  <c:v>131.061756435659</c:v>
                </c:pt>
                <c:pt idx="16">
                  <c:v>127.14027240705455</c:v>
                </c:pt>
                <c:pt idx="17">
                  <c:v>115.05471903788221</c:v>
                </c:pt>
                <c:pt idx="18">
                  <c:v>99.00000260349944</c:v>
                </c:pt>
                <c:pt idx="19">
                  <c:v>77.34462237078776</c:v>
                </c:pt>
                <c:pt idx="20">
                  <c:v>50.1886560108303</c:v>
                </c:pt>
                <c:pt idx="21">
                  <c:v>21.712592239542523</c:v>
                </c:pt>
                <c:pt idx="22">
                  <c:v>39.04241122288217</c:v>
                </c:pt>
                <c:pt idx="23">
                  <c:v>79.78934610780951</c:v>
                </c:pt>
                <c:pt idx="24">
                  <c:v>115.77251755917379</c:v>
                </c:pt>
                <c:pt idx="25">
                  <c:v>131.061756435659</c:v>
                </c:pt>
                <c:pt idx="26">
                  <c:v>131.061756435659</c:v>
                </c:pt>
                <c:pt idx="27">
                  <c:v>131.061756435659</c:v>
                </c:pt>
              </c:numCache>
            </c:numRef>
          </c:val>
          <c:smooth val="0"/>
        </c:ser>
        <c:marker val="1"/>
        <c:axId val="32143023"/>
        <c:axId val="20851752"/>
      </c:lineChart>
      <c:lineChart>
        <c:grouping val="standard"/>
        <c:varyColors val="0"/>
        <c:ser>
          <c:idx val="0"/>
          <c:order val="0"/>
          <c:tx>
            <c:v>SPL @ Xmax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70.96269588057578</c:v>
                </c:pt>
                <c:pt idx="1">
                  <c:v>72.68286728436995</c:v>
                </c:pt>
                <c:pt idx="2">
                  <c:v>74.40303868816412</c:v>
                </c:pt>
                <c:pt idx="3">
                  <c:v>76.1232100919583</c:v>
                </c:pt>
                <c:pt idx="4">
                  <c:v>77.84338149575248</c:v>
                </c:pt>
                <c:pt idx="5">
                  <c:v>79.56355289954665</c:v>
                </c:pt>
                <c:pt idx="6">
                  <c:v>81.28372430334082</c:v>
                </c:pt>
                <c:pt idx="7">
                  <c:v>83.003895707135</c:v>
                </c:pt>
                <c:pt idx="8">
                  <c:v>84.72406711092918</c:v>
                </c:pt>
                <c:pt idx="9">
                  <c:v>86.44423851472337</c:v>
                </c:pt>
                <c:pt idx="10">
                  <c:v>88.16440991851753</c:v>
                </c:pt>
                <c:pt idx="11">
                  <c:v>89.8845813223117</c:v>
                </c:pt>
                <c:pt idx="12">
                  <c:v>91.60475272610589</c:v>
                </c:pt>
                <c:pt idx="13">
                  <c:v>93.32492412990007</c:v>
                </c:pt>
                <c:pt idx="14">
                  <c:v>95.04509553369425</c:v>
                </c:pt>
                <c:pt idx="15">
                  <c:v>96.76526693748843</c:v>
                </c:pt>
                <c:pt idx="16">
                  <c:v>98.48543834128259</c:v>
                </c:pt>
                <c:pt idx="17">
                  <c:v>100.20560974507677</c:v>
                </c:pt>
                <c:pt idx="18">
                  <c:v>101.92578114887095</c:v>
                </c:pt>
                <c:pt idx="19">
                  <c:v>103.64595255266514</c:v>
                </c:pt>
                <c:pt idx="20">
                  <c:v>105.36612395645929</c:v>
                </c:pt>
                <c:pt idx="21">
                  <c:v>107.08629536025347</c:v>
                </c:pt>
                <c:pt idx="22">
                  <c:v>108.80646676404766</c:v>
                </c:pt>
                <c:pt idx="23">
                  <c:v>110.52663816784184</c:v>
                </c:pt>
                <c:pt idx="24">
                  <c:v>112.24680957163602</c:v>
                </c:pt>
                <c:pt idx="25">
                  <c:v>113.9669809754302</c:v>
                </c:pt>
                <c:pt idx="26">
                  <c:v>115.68715237922436</c:v>
                </c:pt>
                <c:pt idx="27">
                  <c:v>117.40732378301854</c:v>
                </c:pt>
              </c:numCache>
            </c:numRef>
          </c:val>
          <c:smooth val="0"/>
        </c:ser>
        <c:ser>
          <c:idx val="2"/>
          <c:order val="2"/>
          <c:tx>
            <c:v>SPL @ Vp, Imax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66.16752488984403</c:v>
                </c:pt>
                <c:pt idx="1">
                  <c:v>67.92374479820856</c:v>
                </c:pt>
                <c:pt idx="2">
                  <c:v>69.68798046369051</c:v>
                </c:pt>
                <c:pt idx="3">
                  <c:v>71.46204687160763</c:v>
                </c:pt>
                <c:pt idx="4">
                  <c:v>73.2481860487787</c:v>
                </c:pt>
                <c:pt idx="5">
                  <c:v>75.04917549050168</c:v>
                </c:pt>
                <c:pt idx="6">
                  <c:v>76.86846803655187</c:v>
                </c:pt>
                <c:pt idx="7">
                  <c:v>78.71037422744368</c:v>
                </c:pt>
                <c:pt idx="8">
                  <c:v>80.58030296522477</c:v>
                </c:pt>
                <c:pt idx="9">
                  <c:v>82.48508365672184</c:v>
                </c:pt>
                <c:pt idx="10">
                  <c:v>84.43340462005311</c:v>
                </c:pt>
                <c:pt idx="11">
                  <c:v>86.43642151300499</c:v>
                </c:pt>
                <c:pt idx="12">
                  <c:v>88.50862213446534</c:v>
                </c:pt>
                <c:pt idx="13">
                  <c:v>90.66909389836968</c:v>
                </c:pt>
                <c:pt idx="14">
                  <c:v>92.9434616119231</c:v>
                </c:pt>
                <c:pt idx="15">
                  <c:v>95.36704148857613</c:v>
                </c:pt>
                <c:pt idx="16">
                  <c:v>97.72663856033397</c:v>
                </c:pt>
                <c:pt idx="17">
                  <c:v>99.7601042431611</c:v>
                </c:pt>
                <c:pt idx="18">
                  <c:v>101.767321859313</c:v>
                </c:pt>
                <c:pt idx="19">
                  <c:v>103.64595255266514</c:v>
                </c:pt>
                <c:pt idx="20">
                  <c:v>105.31614096230314</c:v>
                </c:pt>
                <c:pt idx="21">
                  <c:v>106.55534277529199</c:v>
                </c:pt>
                <c:pt idx="22">
                  <c:v>107.27877013073126</c:v>
                </c:pt>
                <c:pt idx="23">
                  <c:v>107.52597079388572</c:v>
                </c:pt>
                <c:pt idx="24">
                  <c:v>107.44654554789174</c:v>
                </c:pt>
                <c:pt idx="25">
                  <c:v>106.55255017065085</c:v>
                </c:pt>
                <c:pt idx="26">
                  <c:v>105.37309903937783</c:v>
                </c:pt>
                <c:pt idx="27">
                  <c:v>104.6890529433445</c:v>
                </c:pt>
              </c:numCache>
            </c:numRef>
          </c:val>
          <c:smooth val="0"/>
        </c:ser>
        <c:marker val="1"/>
        <c:axId val="53448041"/>
        <c:axId val="11270322"/>
      </c:lineChart>
      <c:catAx>
        <c:axId val="32143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851752"/>
        <c:crosses val="autoZero"/>
        <c:auto val="1"/>
        <c:lblOffset val="100"/>
        <c:noMultiLvlLbl val="0"/>
      </c:catAx>
      <c:valAx>
        <c:axId val="2085175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Ip/2 power - 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43023"/>
        <c:crossesAt val="1"/>
        <c:crossBetween val="between"/>
        <c:dispUnits/>
      </c:valAx>
      <c:catAx>
        <c:axId val="53448041"/>
        <c:scaling>
          <c:orientation val="minMax"/>
        </c:scaling>
        <c:axPos val="b"/>
        <c:delete val="1"/>
        <c:majorTickMark val="in"/>
        <c:minorTickMark val="none"/>
        <c:tickLblPos val="nextTo"/>
        <c:crossAx val="11270322"/>
        <c:crosses val="autoZero"/>
        <c:auto val="1"/>
        <c:lblOffset val="100"/>
        <c:noMultiLvlLbl val="0"/>
      </c:catAx>
      <c:valAx>
        <c:axId val="11270322"/>
        <c:scaling>
          <c:orientation val="minMax"/>
          <c:max val="13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53448041"/>
        <c:crosses val="max"/>
        <c:crossBetween val="between"/>
        <c:dispUnits/>
      </c:valAx>
    </c:plotArea>
    <c:legend>
      <c:legendPos val="r"/>
      <c:layout>
        <c:manualLayout>
          <c:xMode val="edge"/>
          <c:yMode val="edge"/>
          <c:x val="0.13275"/>
          <c:y val="0.2375"/>
          <c:w val="0.1705"/>
          <c:h val="0.11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Peak current &amp; peak voltage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1075"/>
          <c:w val="0.89475"/>
          <c:h val="0.79625"/>
        </c:manualLayout>
      </c:layout>
      <c:lineChart>
        <c:grouping val="standard"/>
        <c:varyColors val="0"/>
        <c:ser>
          <c:idx val="0"/>
          <c:order val="0"/>
          <c:tx>
            <c:v>Vp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'Spec''s'!$N$35:$N$62</c:f>
              <c:numCache>
                <c:ptCount val="28"/>
                <c:pt idx="0">
                  <c:v>39.55460279013376</c:v>
                </c:pt>
                <c:pt idx="1">
                  <c:v>39.45544626343499</c:v>
                </c:pt>
                <c:pt idx="2">
                  <c:v>39.33552988367207</c:v>
                </c:pt>
                <c:pt idx="3">
                  <c:v>39.19078515994242</c:v>
                </c:pt>
                <c:pt idx="4">
                  <c:v>39.0164957556992</c:v>
                </c:pt>
                <c:pt idx="5">
                  <c:v>38.80728265707126</c:v>
                </c:pt>
                <c:pt idx="6">
                  <c:v>38.55715510265446</c:v>
                </c:pt>
                <c:pt idx="7">
                  <c:v>38.25968113987661</c:v>
                </c:pt>
                <c:pt idx="8">
                  <c:v>37.90836738273912</c:v>
                </c:pt>
                <c:pt idx="9">
                  <c:v>37.49739623466226</c:v>
                </c:pt>
                <c:pt idx="10">
                  <c:v>37.022964983346775</c:v>
                </c:pt>
                <c:pt idx="11">
                  <c:v>36.485626883492394</c:v>
                </c:pt>
                <c:pt idx="12">
                  <c:v>35.894279294325244</c:v>
                </c:pt>
                <c:pt idx="13">
                  <c:v>35.27280385631052</c:v>
                </c:pt>
                <c:pt idx="14">
                  <c:v>34.6708088698785</c:v>
                </c:pt>
                <c:pt idx="15">
                  <c:v>34.18020614546249</c:v>
                </c:pt>
                <c:pt idx="16">
                  <c:v>33.95861685581821</c:v>
                </c:pt>
                <c:pt idx="17">
                  <c:v>34.25687026033006</c:v>
                </c:pt>
                <c:pt idx="18">
                  <c:v>35.438942478414795</c:v>
                </c:pt>
                <c:pt idx="19">
                  <c:v>37.97258522375456</c:v>
                </c:pt>
                <c:pt idx="20">
                  <c:v>42.37697384798551</c:v>
                </c:pt>
                <c:pt idx="21">
                  <c:v>49.15443402663207</c:v>
                </c:pt>
                <c:pt idx="22">
                  <c:v>58.76356868665933</c:v>
                </c:pt>
                <c:pt idx="23">
                  <c:v>71.65552529135392</c:v>
                </c:pt>
                <c:pt idx="24">
                  <c:v>88.34099148407523</c:v>
                </c:pt>
                <c:pt idx="25">
                  <c:v>109.45215552196437</c:v>
                </c:pt>
                <c:pt idx="26">
                  <c:v>135.79047740388822</c:v>
                </c:pt>
                <c:pt idx="27">
                  <c:v>168.36715077299414</c:v>
                </c:pt>
              </c:numCache>
            </c:numRef>
          </c:val>
          <c:smooth val="0"/>
        </c:ser>
        <c:marker val="1"/>
        <c:axId val="34324035"/>
        <c:axId val="40480860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'Spec''s'!$O$35:$O$62</c:f>
              <c:numCache>
                <c:ptCount val="28"/>
                <c:pt idx="0">
                  <c:v>6.950929343324082</c:v>
                </c:pt>
                <c:pt idx="1">
                  <c:v>6.908598496776179</c:v>
                </c:pt>
                <c:pt idx="2">
                  <c:v>6.85716138758632</c:v>
                </c:pt>
                <c:pt idx="3">
                  <c:v>6.794704528183604</c:v>
                </c:pt>
                <c:pt idx="4">
                  <c:v>6.718935277107163</c:v>
                </c:pt>
                <c:pt idx="5">
                  <c:v>6.627118603968746</c:v>
                </c:pt>
                <c:pt idx="6">
                  <c:v>6.516009835582401</c:v>
                </c:pt>
                <c:pt idx="7">
                  <c:v>6.3817872832524545</c:v>
                </c:pt>
                <c:pt idx="8">
                  <c:v>6.219991600022119</c:v>
                </c:pt>
                <c:pt idx="9">
                  <c:v>6.025482812622752</c:v>
                </c:pt>
                <c:pt idx="10">
                  <c:v>5.792430811708858</c:v>
                </c:pt>
                <c:pt idx="11">
                  <c:v>5.514358450795471</c:v>
                </c:pt>
                <c:pt idx="12">
                  <c:v>5.184251082463667</c:v>
                </c:pt>
                <c:pt idx="13">
                  <c:v>4.79471287167297</c:v>
                </c:pt>
                <c:pt idx="14">
                  <c:v>4.338043789833225</c:v>
                </c:pt>
                <c:pt idx="15">
                  <c:v>3.8058555842006343</c:v>
                </c:pt>
                <c:pt idx="16">
                  <c:v>3.1874410203196497</c:v>
                </c:pt>
                <c:pt idx="17">
                  <c:v>2.4665115965799256</c:v>
                </c:pt>
                <c:pt idx="18">
                  <c:v>1.6259564911415398</c:v>
                </c:pt>
                <c:pt idx="19">
                  <c:v>0.8239759027173348</c:v>
                </c:pt>
                <c:pt idx="20">
                  <c:v>1.488129865605983</c:v>
                </c:pt>
                <c:pt idx="21">
                  <c:v>3.4006416324764595</c:v>
                </c:pt>
                <c:pt idx="22">
                  <c:v>6.009460671553111</c:v>
                </c:pt>
                <c:pt idx="23">
                  <c:v>9.282867589210865</c:v>
                </c:pt>
                <c:pt idx="24">
                  <c:v>13.21101762873656</c:v>
                </c:pt>
                <c:pt idx="25">
                  <c:v>17.79905272737658</c:v>
                </c:pt>
                <c:pt idx="26">
                  <c:v>23.07774084528633</c:v>
                </c:pt>
                <c:pt idx="27">
                  <c:v>29.099101227644905</c:v>
                </c:pt>
              </c:numCache>
            </c:numRef>
          </c:val>
          <c:smooth val="0"/>
        </c:ser>
        <c:marker val="1"/>
        <c:axId val="28783421"/>
        <c:axId val="57724198"/>
      </c:lineChart>
      <c:catAx>
        <c:axId val="34324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80860"/>
        <c:crosses val="autoZero"/>
        <c:auto val="1"/>
        <c:lblOffset val="100"/>
        <c:noMultiLvlLbl val="0"/>
      </c:catAx>
      <c:valAx>
        <c:axId val="4048086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Vp -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324035"/>
        <c:crossesAt val="1"/>
        <c:crossBetween val="between"/>
        <c:dispUnits/>
      </c:valAx>
      <c:catAx>
        <c:axId val="28783421"/>
        <c:scaling>
          <c:orientation val="minMax"/>
        </c:scaling>
        <c:axPos val="b"/>
        <c:delete val="1"/>
        <c:majorTickMark val="in"/>
        <c:minorTickMark val="none"/>
        <c:tickLblPos val="nextTo"/>
        <c:crossAx val="57724198"/>
        <c:crosses val="autoZero"/>
        <c:auto val="1"/>
        <c:lblOffset val="100"/>
        <c:noMultiLvlLbl val="0"/>
      </c:catAx>
      <c:valAx>
        <c:axId val="57724198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7834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25"/>
          <c:y val="0.24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&amp; SPL for Xmax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75"/>
          <c:w val="0.92625"/>
          <c:h val="0.8365"/>
        </c:manualLayout>
      </c:layout>
      <c:lineChart>
        <c:grouping val="standard"/>
        <c:varyColors val="0"/>
        <c:ser>
          <c:idx val="0"/>
          <c:order val="0"/>
          <c:tx>
            <c:v>W (Ip through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'Spec''s'!$Q$35:$Q$62</c:f>
              <c:numCache>
                <c:ptCount val="28"/>
                <c:pt idx="0">
                  <c:v>169.99833811819866</c:v>
                </c:pt>
                <c:pt idx="1">
                  <c:v>167.804733177813</c:v>
                </c:pt>
                <c:pt idx="2">
                  <c:v>165.15921475579734</c:v>
                </c:pt>
                <c:pt idx="3">
                  <c:v>161.97637323756416</c:v>
                </c:pt>
                <c:pt idx="4">
                  <c:v>158.15844329533832</c:v>
                </c:pt>
                <c:pt idx="5">
                  <c:v>153.59548134206085</c:v>
                </c:pt>
                <c:pt idx="6">
                  <c:v>148.16681231971705</c:v>
                </c:pt>
                <c:pt idx="7">
                  <c:v>141.74447613489687</c:v>
                </c:pt>
                <c:pt idx="8">
                  <c:v>134.1996588605447</c:v>
                </c:pt>
                <c:pt idx="9">
                  <c:v>125.41334462153041</c:v>
                </c:pt>
                <c:pt idx="10">
                  <c:v>115.29255732003969</c:v>
                </c:pt>
                <c:pt idx="11">
                  <c:v>103.79333559948272</c:v>
                </c:pt>
                <c:pt idx="12">
                  <c:v>90.95057211874145</c:v>
                </c:pt>
                <c:pt idx="13">
                  <c:v>76.9125058173352</c:v>
                </c:pt>
                <c:pt idx="14">
                  <c:v>61.97401772220317</c:v>
                </c:pt>
                <c:pt idx="15">
                  <c:v>46.60136280748453</c:v>
                </c:pt>
                <c:pt idx="16">
                  <c:v>31.45652482871897</c:v>
                </c:pt>
                <c:pt idx="17">
                  <c:v>17.504089996557646</c:v>
                </c:pt>
                <c:pt idx="18">
                  <c:v>6.487599324363766</c:v>
                </c:pt>
                <c:pt idx="19">
                  <c:v>2.3742381692966092</c:v>
                </c:pt>
                <c:pt idx="20">
                  <c:v>14.317214181491828</c:v>
                </c:pt>
                <c:pt idx="21">
                  <c:v>60.42286020482265</c:v>
                </c:pt>
                <c:pt idx="22">
                  <c:v>169.94182901940286</c:v>
                </c:pt>
                <c:pt idx="23">
                  <c:v>382.79448591405054</c:v>
                </c:pt>
                <c:pt idx="24">
                  <c:v>749.0066382033422</c:v>
                </c:pt>
                <c:pt idx="25">
                  <c:v>1330.7968366548714</c:v>
                </c:pt>
                <c:pt idx="26">
                  <c:v>2206.928390778301</c:v>
                </c:pt>
                <c:pt idx="27">
                  <c:v>3477.575410504459</c:v>
                </c:pt>
              </c:numCache>
            </c:numRef>
          </c:val>
          <c:smooth val="0"/>
        </c:ser>
        <c:ser>
          <c:idx val="1"/>
          <c:order val="1"/>
          <c:tx>
            <c:v>W (Vp across 8ohm)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'Spec''s'!$R$35:$R$62</c:f>
              <c:numCache>
                <c:ptCount val="28"/>
                <c:pt idx="0">
                  <c:v>86.31077866103331</c:v>
                </c:pt>
                <c:pt idx="1">
                  <c:v>85.87948252791787</c:v>
                </c:pt>
                <c:pt idx="2">
                  <c:v>85.3600932576011</c:v>
                </c:pt>
                <c:pt idx="3">
                  <c:v>84.73641138384427</c:v>
                </c:pt>
                <c:pt idx="4">
                  <c:v>83.99019326739551</c:v>
                </c:pt>
                <c:pt idx="5">
                  <c:v>83.10143419900425</c:v>
                </c:pt>
                <c:pt idx="6">
                  <c:v>82.04906867282925</c:v>
                </c:pt>
                <c:pt idx="7">
                  <c:v>80.81235180536953</c:v>
                </c:pt>
                <c:pt idx="8">
                  <c:v>79.37332757625096</c:v>
                </c:pt>
                <c:pt idx="9">
                  <c:v>77.72100307152989</c:v>
                </c:pt>
                <c:pt idx="10">
                  <c:v>75.85816875680513</c:v>
                </c:pt>
                <c:pt idx="11">
                  <c:v>73.81228594828391</c:v>
                </c:pt>
                <c:pt idx="12">
                  <c:v>71.6525829429863</c:v>
                </c:pt>
                <c:pt idx="13">
                  <c:v>69.51657810637472</c:v>
                </c:pt>
                <c:pt idx="14">
                  <c:v>67.65085629568448</c:v>
                </c:pt>
                <c:pt idx="15">
                  <c:v>66.47332423270475</c:v>
                </c:pt>
                <c:pt idx="16">
                  <c:v>66.66774743855605</c:v>
                </c:pt>
                <c:pt idx="17">
                  <c:v>69.3267010644943</c:v>
                </c:pt>
                <c:pt idx="18">
                  <c:v>76.16700434679066</c:v>
                </c:pt>
                <c:pt idx="19">
                  <c:v>89.85352461788133</c:v>
                </c:pt>
                <c:pt idx="20">
                  <c:v>114.48482156084944</c:v>
                </c:pt>
                <c:pt idx="21">
                  <c:v>156.3202648644706</c:v>
                </c:pt>
                <c:pt idx="22">
                  <c:v>224.86717426846047</c:v>
                </c:pt>
                <c:pt idx="23">
                  <c:v>334.5044066876369</c:v>
                </c:pt>
                <c:pt idx="24">
                  <c:v>506.9048753487831</c:v>
                </c:pt>
                <c:pt idx="25">
                  <c:v>774.6474407400684</c:v>
                </c:pt>
                <c:pt idx="26">
                  <c:v>1186.5988385009289</c:v>
                </c:pt>
                <c:pt idx="27">
                  <c:v>1815.9290869034326</c:v>
                </c:pt>
              </c:numCache>
            </c:numRef>
          </c:val>
          <c:smooth val="0"/>
        </c:ser>
        <c:ser>
          <c:idx val="3"/>
          <c:order val="3"/>
          <c:tx>
            <c:v>W (Vp Ip/2)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'Spec''s'!$P$35:$P$62</c:f>
              <c:numCache>
                <c:ptCount val="28"/>
                <c:pt idx="0">
                  <c:v>121.13087523031997</c:v>
                </c:pt>
                <c:pt idx="1">
                  <c:v>120.04575648912339</c:v>
                </c:pt>
                <c:pt idx="2">
                  <c:v>118.73502420897984</c:v>
                </c:pt>
                <c:pt idx="3">
                  <c:v>117.15501097742828</c:v>
                </c:pt>
                <c:pt idx="4">
                  <c:v>115.2551873854096</c:v>
                </c:pt>
                <c:pt idx="5">
                  <c:v>112.97789512117693</c:v>
                </c:pt>
                <c:pt idx="6">
                  <c:v>110.25855503794102</c:v>
                </c:pt>
                <c:pt idx="7">
                  <c:v>107.02665309109265</c:v>
                </c:pt>
                <c:pt idx="8">
                  <c:v>103.20791386012579</c:v>
                </c:pt>
                <c:pt idx="9">
                  <c:v>98.72816691573283</c:v>
                </c:pt>
                <c:pt idx="10">
                  <c:v>93.51942188437224</c:v>
                </c:pt>
                <c:pt idx="11">
                  <c:v>87.52841462516739</c:v>
                </c:pt>
                <c:pt idx="12">
                  <c:v>80.72696830954436</c:v>
                </c:pt>
                <c:pt idx="13">
                  <c:v>73.1210928392607</c:v>
                </c:pt>
                <c:pt idx="14">
                  <c:v>64.75025379866067</c:v>
                </c:pt>
                <c:pt idx="15">
                  <c:v>55.6574119016311</c:v>
                </c:pt>
                <c:pt idx="16">
                  <c:v>45.794493692754195</c:v>
                </c:pt>
                <c:pt idx="17">
                  <c:v>34.83533858881462</c:v>
                </c:pt>
                <c:pt idx="18">
                  <c:v>22.22928262313139</c:v>
                </c:pt>
                <c:pt idx="19">
                  <c:v>14.605946316264701</c:v>
                </c:pt>
                <c:pt idx="20">
                  <c:v>40.48584580833844</c:v>
                </c:pt>
                <c:pt idx="21">
                  <c:v>97.18702336776632</c:v>
                </c:pt>
                <c:pt idx="22">
                  <c:v>195.4848814655675</c:v>
                </c:pt>
                <c:pt idx="23">
                  <c:v>357.83577573235806</c:v>
                </c:pt>
                <c:pt idx="24">
                  <c:v>616.177828693857</c:v>
                </c:pt>
                <c:pt idx="25">
                  <c:v>1015.3316520525079</c:v>
                </c:pt>
                <c:pt idx="26">
                  <c:v>1618.251731082731</c:v>
                </c:pt>
                <c:pt idx="27">
                  <c:v>2512.9724112761746</c:v>
                </c:pt>
              </c:numCache>
            </c:numRef>
          </c:val>
          <c:smooth val="0"/>
        </c:ser>
        <c:marker val="1"/>
        <c:axId val="49755735"/>
        <c:axId val="45148432"/>
      </c:lineChart>
      <c:lineChart>
        <c:grouping val="standard"/>
        <c:varyColors val="0"/>
        <c:ser>
          <c:idx val="2"/>
          <c:order val="2"/>
          <c:tx>
            <c:v>dB 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'Spec''s'!$S$35:$S$62</c:f>
              <c:numCache>
                <c:ptCount val="28"/>
                <c:pt idx="0">
                  <c:v>70.96269588057578</c:v>
                </c:pt>
                <c:pt idx="1">
                  <c:v>72.68286728436995</c:v>
                </c:pt>
                <c:pt idx="2">
                  <c:v>74.40303868816412</c:v>
                </c:pt>
                <c:pt idx="3">
                  <c:v>76.1232100919583</c:v>
                </c:pt>
                <c:pt idx="4">
                  <c:v>77.84338149575248</c:v>
                </c:pt>
                <c:pt idx="5">
                  <c:v>79.56355289954665</c:v>
                </c:pt>
                <c:pt idx="6">
                  <c:v>81.28372430334082</c:v>
                </c:pt>
                <c:pt idx="7">
                  <c:v>83.003895707135</c:v>
                </c:pt>
                <c:pt idx="8">
                  <c:v>84.72406711092918</c:v>
                </c:pt>
                <c:pt idx="9">
                  <c:v>86.44423851472337</c:v>
                </c:pt>
                <c:pt idx="10">
                  <c:v>88.16440991851753</c:v>
                </c:pt>
                <c:pt idx="11">
                  <c:v>89.8845813223117</c:v>
                </c:pt>
                <c:pt idx="12">
                  <c:v>91.60475272610589</c:v>
                </c:pt>
                <c:pt idx="13">
                  <c:v>93.32492412990007</c:v>
                </c:pt>
                <c:pt idx="14">
                  <c:v>95.04509553369425</c:v>
                </c:pt>
                <c:pt idx="15">
                  <c:v>96.76526693748843</c:v>
                </c:pt>
                <c:pt idx="16">
                  <c:v>98.48543834128259</c:v>
                </c:pt>
                <c:pt idx="17">
                  <c:v>100.20560974507677</c:v>
                </c:pt>
                <c:pt idx="18">
                  <c:v>101.92578114887095</c:v>
                </c:pt>
                <c:pt idx="19">
                  <c:v>103.64595255266514</c:v>
                </c:pt>
                <c:pt idx="20">
                  <c:v>105.36612395645929</c:v>
                </c:pt>
                <c:pt idx="21">
                  <c:v>107.08629536025347</c:v>
                </c:pt>
                <c:pt idx="22">
                  <c:v>108.80646676404766</c:v>
                </c:pt>
                <c:pt idx="23">
                  <c:v>110.52663816784184</c:v>
                </c:pt>
                <c:pt idx="24">
                  <c:v>112.24680957163602</c:v>
                </c:pt>
                <c:pt idx="25">
                  <c:v>113.9669809754302</c:v>
                </c:pt>
                <c:pt idx="26">
                  <c:v>115.68715237922436</c:v>
                </c:pt>
                <c:pt idx="27">
                  <c:v>117.40732378301854</c:v>
                </c:pt>
              </c:numCache>
            </c:numRef>
          </c:val>
          <c:smooth val="0"/>
        </c:ser>
        <c:marker val="1"/>
        <c:axId val="3682705"/>
        <c:axId val="33144346"/>
      </c:lineChart>
      <c:catAx>
        <c:axId val="49755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148432"/>
        <c:crosses val="autoZero"/>
        <c:auto val="1"/>
        <c:lblOffset val="100"/>
        <c:noMultiLvlLbl val="0"/>
      </c:catAx>
      <c:valAx>
        <c:axId val="4514843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- 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755735"/>
        <c:crossesAt val="1"/>
        <c:crossBetween val="between"/>
        <c:dispUnits/>
      </c:valAx>
      <c:catAx>
        <c:axId val="3682705"/>
        <c:scaling>
          <c:orientation val="minMax"/>
        </c:scaling>
        <c:axPos val="b"/>
        <c:delete val="1"/>
        <c:majorTickMark val="in"/>
        <c:minorTickMark val="none"/>
        <c:tickLblPos val="nextTo"/>
        <c:crossAx val="33144346"/>
        <c:crosses val="autoZero"/>
        <c:auto val="1"/>
        <c:lblOffset val="100"/>
        <c:noMultiLvlLbl val="0"/>
      </c:catAx>
      <c:valAx>
        <c:axId val="33144346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827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15"/>
          <c:y val="0.178"/>
          <c:w val="0.2685"/>
          <c:h val="0.11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SPL (free-space) for 2.83 Vrms across 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075"/>
          <c:w val="0.872"/>
          <c:h val="0.831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50.10265313876125</c:v>
                </c:pt>
                <c:pt idx="1">
                  <c:v>51.84404490526345</c:v>
                </c:pt>
                <c:pt idx="2">
                  <c:v>53.58999483348882</c:v>
                </c:pt>
                <c:pt idx="3">
                  <c:v>55.341454107668255</c:v>
                </c:pt>
                <c:pt idx="4">
                  <c:v>57.09955627078962</c:v>
                </c:pt>
                <c:pt idx="5">
                  <c:v>58.865641957318154</c:v>
                </c:pt>
                <c:pt idx="6">
                  <c:v>60.64127943500576</c:v>
                </c:pt>
                <c:pt idx="7">
                  <c:v>62.42827343619154</c:v>
                </c:pt>
                <c:pt idx="8">
                  <c:v>64.22864819421628</c:v>
                </c:pt>
                <c:pt idx="9">
                  <c:v>66.04457869383828</c:v>
                </c:pt>
                <c:pt idx="10">
                  <c:v>67.87822254858722</c:v>
                </c:pt>
                <c:pt idx="11">
                  <c:v>69.73136593046756</c:v>
                </c:pt>
                <c:pt idx="12">
                  <c:v>71.60472773119366</c:v>
                </c:pt>
                <c:pt idx="13">
                  <c:v>73.49664821186153</c:v>
                </c:pt>
                <c:pt idx="14">
                  <c:v>75.40070736135074</c:v>
                </c:pt>
                <c:pt idx="15">
                  <c:v>77.30161293077617</c:v>
                </c:pt>
                <c:pt idx="16">
                  <c:v>79.16873082268009</c:v>
                </c:pt>
                <c:pt idx="17">
                  <c:v>80.94778933862594</c:v>
                </c:pt>
                <c:pt idx="18">
                  <c:v>82.55537141243369</c:v>
                </c:pt>
                <c:pt idx="19">
                  <c:v>83.88806395656607</c:v>
                </c:pt>
                <c:pt idx="20">
                  <c:v>84.85828815658584</c:v>
                </c:pt>
                <c:pt idx="21">
                  <c:v>85.44269075377784</c:v>
                </c:pt>
                <c:pt idx="22">
                  <c:v>85.69754973234464</c:v>
                </c:pt>
                <c:pt idx="23">
                  <c:v>85.72339067454348</c:v>
                </c:pt>
                <c:pt idx="24">
                  <c:v>85.61762357304477</c:v>
                </c:pt>
                <c:pt idx="25">
                  <c:v>85.45086990996381</c:v>
                </c:pt>
                <c:pt idx="26">
                  <c:v>85.26607698295655</c:v>
                </c:pt>
                <c:pt idx="27">
                  <c:v>85.08624063412611</c:v>
                </c:pt>
              </c:numCache>
            </c:numRef>
          </c:val>
          <c:smooth val="0"/>
        </c:ser>
        <c:marker val="1"/>
        <c:axId val="29863659"/>
        <c:axId val="337476"/>
      </c:lineChart>
      <c:lineChart>
        <c:grouping val="standard"/>
        <c:varyColors val="0"/>
        <c:ser>
          <c:idx val="1"/>
          <c:order val="1"/>
          <c:tx>
            <c:v>Impedance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'Spec''s'!$J$35:$J$62</c:f>
              <c:numCache>
                <c:ptCount val="28"/>
                <c:pt idx="0">
                  <c:v>5.676852656196623</c:v>
                </c:pt>
                <c:pt idx="1">
                  <c:v>5.694198693149145</c:v>
                </c:pt>
                <c:pt idx="2">
                  <c:v>5.715601908974637</c:v>
                </c:pt>
                <c:pt idx="3">
                  <c:v>5.742083274164721</c:v>
                </c:pt>
                <c:pt idx="4">
                  <c:v>5.774957641408169</c:v>
                </c:pt>
                <c:pt idx="5">
                  <c:v>5.815937477546722</c:v>
                </c:pt>
                <c:pt idx="6">
                  <c:v>5.867283202686988</c:v>
                </c:pt>
                <c:pt idx="7">
                  <c:v>5.932026526023537</c:v>
                </c:pt>
                <c:pt idx="8">
                  <c:v>6.0143115354602195</c:v>
                </c:pt>
                <c:pt idx="9">
                  <c:v>6.119932168381191</c:v>
                </c:pt>
                <c:pt idx="10">
                  <c:v>6.2572098879057485</c:v>
                </c:pt>
                <c:pt idx="11">
                  <c:v>6.438487313029752</c:v>
                </c:pt>
                <c:pt idx="12">
                  <c:v>6.682796699891429</c:v>
                </c:pt>
                <c:pt idx="13">
                  <c:v>7.020914457431643</c:v>
                </c:pt>
                <c:pt idx="14">
                  <c:v>7.5056517739409845</c:v>
                </c:pt>
                <c:pt idx="15">
                  <c:v>8.23482426781412</c:v>
                </c:pt>
                <c:pt idx="16">
                  <c:v>9.409173179234054</c:v>
                </c:pt>
                <c:pt idx="17">
                  <c:v>11.505432418983515</c:v>
                </c:pt>
                <c:pt idx="18">
                  <c:v>15.938590773358047</c:v>
                </c:pt>
                <c:pt idx="19">
                  <c:v>28.505000342042074</c:v>
                </c:pt>
                <c:pt idx="20">
                  <c:v>42.82384264852969</c:v>
                </c:pt>
                <c:pt idx="21">
                  <c:v>18.90150312674502</c:v>
                </c:pt>
                <c:pt idx="22">
                  <c:v>11.261053143117964</c:v>
                </c:pt>
                <c:pt idx="23">
                  <c:v>8.325178018994704</c:v>
                </c:pt>
                <c:pt idx="24">
                  <c:v>6.958796531219087</c:v>
                </c:pt>
                <c:pt idx="25">
                  <c:v>6.2757448957852215</c:v>
                </c:pt>
                <c:pt idx="26">
                  <c:v>5.942608557740137</c:v>
                </c:pt>
                <c:pt idx="27">
                  <c:v>5.811771676425439</c:v>
                </c:pt>
              </c:numCache>
            </c:numRef>
          </c:val>
          <c:smooth val="0"/>
        </c:ser>
        <c:marker val="1"/>
        <c:axId val="3037285"/>
        <c:axId val="27335566"/>
      </c:lineChart>
      <c:catAx>
        <c:axId val="29863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476"/>
        <c:crosses val="autoZero"/>
        <c:auto val="1"/>
        <c:lblOffset val="100"/>
        <c:noMultiLvlLbl val="0"/>
      </c:catAx>
      <c:valAx>
        <c:axId val="337476"/>
        <c:scaling>
          <c:orientation val="minMax"/>
          <c:max val="96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63659"/>
        <c:crossesAt val="1"/>
        <c:crossBetween val="between"/>
        <c:dispUnits/>
        <c:majorUnit val="3"/>
      </c:valAx>
      <c:catAx>
        <c:axId val="3037285"/>
        <c:scaling>
          <c:orientation val="minMax"/>
        </c:scaling>
        <c:axPos val="b"/>
        <c:delete val="1"/>
        <c:majorTickMark val="in"/>
        <c:minorTickMark val="none"/>
        <c:tickLblPos val="nextTo"/>
        <c:crossAx val="27335566"/>
        <c:crosses val="autoZero"/>
        <c:auto val="1"/>
        <c:lblOffset val="100"/>
        <c:noMultiLvlLbl val="0"/>
      </c:catAx>
      <c:valAx>
        <c:axId val="27335566"/>
        <c:scaling>
          <c:orientation val="minMax"/>
          <c:max val="2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Impedance - 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37285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5"/>
          <c:y val="0.16825"/>
          <c:w val="0.1357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Free-space SPL &amp; peak current at 10V peak</a:t>
            </a:r>
          </a:p>
        </c:rich>
      </c:tx>
      <c:layout>
        <c:manualLayout>
          <c:xMode val="factor"/>
          <c:yMode val="factor"/>
          <c:x val="-0.021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7475"/>
          <c:h val="0.84425"/>
        </c:manualLayout>
      </c:layout>
      <c:lineChart>
        <c:grouping val="standard"/>
        <c:varyColors val="0"/>
        <c:ser>
          <c:idx val="0"/>
          <c:order val="0"/>
          <c:tx>
            <c:v>SPL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'Spec''s'!$Y$35:$Y$62</c:f>
              <c:numCache>
                <c:ptCount val="28"/>
                <c:pt idx="0">
                  <c:v>58.05265313876125</c:v>
                </c:pt>
                <c:pt idx="1">
                  <c:v>59.794044905263455</c:v>
                </c:pt>
                <c:pt idx="2">
                  <c:v>61.53999483348882</c:v>
                </c:pt>
                <c:pt idx="3">
                  <c:v>63.29145410766826</c:v>
                </c:pt>
                <c:pt idx="4">
                  <c:v>65.04955627078962</c:v>
                </c:pt>
                <c:pt idx="5">
                  <c:v>66.81564195731815</c:v>
                </c:pt>
                <c:pt idx="6">
                  <c:v>68.59127943500576</c:v>
                </c:pt>
                <c:pt idx="7">
                  <c:v>70.37827343619153</c:v>
                </c:pt>
                <c:pt idx="8">
                  <c:v>72.17864819421628</c:v>
                </c:pt>
                <c:pt idx="9">
                  <c:v>73.99457869383828</c:v>
                </c:pt>
                <c:pt idx="10">
                  <c:v>75.82822254858722</c:v>
                </c:pt>
                <c:pt idx="11">
                  <c:v>77.68136593046756</c:v>
                </c:pt>
                <c:pt idx="12">
                  <c:v>79.55472773119367</c:v>
                </c:pt>
                <c:pt idx="13">
                  <c:v>81.44664821186153</c:v>
                </c:pt>
                <c:pt idx="14">
                  <c:v>83.35070736135074</c:v>
                </c:pt>
                <c:pt idx="15">
                  <c:v>85.25161293077618</c:v>
                </c:pt>
                <c:pt idx="16">
                  <c:v>87.11873082268009</c:v>
                </c:pt>
                <c:pt idx="17">
                  <c:v>88.89778933862594</c:v>
                </c:pt>
                <c:pt idx="18">
                  <c:v>90.50537141243369</c:v>
                </c:pt>
                <c:pt idx="19">
                  <c:v>91.83806395656607</c:v>
                </c:pt>
                <c:pt idx="20">
                  <c:v>92.80828815658585</c:v>
                </c:pt>
                <c:pt idx="21">
                  <c:v>93.39269075377784</c:v>
                </c:pt>
                <c:pt idx="22">
                  <c:v>93.64754973234464</c:v>
                </c:pt>
                <c:pt idx="23">
                  <c:v>93.67339067454348</c:v>
                </c:pt>
                <c:pt idx="24">
                  <c:v>93.56762357304477</c:v>
                </c:pt>
                <c:pt idx="25">
                  <c:v>93.40086990996382</c:v>
                </c:pt>
                <c:pt idx="26">
                  <c:v>93.21607698295655</c:v>
                </c:pt>
                <c:pt idx="27">
                  <c:v>93.03624063412612</c:v>
                </c:pt>
              </c:numCache>
            </c:numRef>
          </c:val>
          <c:smooth val="0"/>
        </c:ser>
        <c:marker val="1"/>
        <c:axId val="44693503"/>
        <c:axId val="66697208"/>
      </c:lineChart>
      <c:lineChart>
        <c:grouping val="standard"/>
        <c:varyColors val="0"/>
        <c:ser>
          <c:idx val="1"/>
          <c:order val="1"/>
          <c:tx>
            <c:v>Ip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'Spec''s'!$Z$35:$Z$62</c:f>
              <c:numCache>
                <c:ptCount val="28"/>
                <c:pt idx="0">
                  <c:v>1.7615394666064488</c:v>
                </c:pt>
                <c:pt idx="1">
                  <c:v>1.7561733509635498</c:v>
                </c:pt>
                <c:pt idx="2">
                  <c:v>1.7495970081992591</c:v>
                </c:pt>
                <c:pt idx="3">
                  <c:v>1.7415282089329611</c:v>
                </c:pt>
                <c:pt idx="4">
                  <c:v>1.731614432683803</c:v>
                </c:pt>
                <c:pt idx="5">
                  <c:v>1.719413256866406</c:v>
                </c:pt>
                <c:pt idx="6">
                  <c:v>1.7043663403567069</c:v>
                </c:pt>
                <c:pt idx="7">
                  <c:v>1.685764545409641</c:v>
                </c:pt>
                <c:pt idx="8">
                  <c:v>1.6627006999953808</c:v>
                </c:pt>
                <c:pt idx="9">
                  <c:v>1.6340050387593008</c:v>
                </c:pt>
                <c:pt idx="10">
                  <c:v>1.5981563954452775</c:v>
                </c:pt>
                <c:pt idx="11">
                  <c:v>1.553159851656881</c:v>
                </c:pt>
                <c:pt idx="12">
                  <c:v>1.4963795023365687</c:v>
                </c:pt>
                <c:pt idx="13">
                  <c:v>1.4243158865744323</c:v>
                </c:pt>
                <c:pt idx="14">
                  <c:v>1.3323293301081713</c:v>
                </c:pt>
                <c:pt idx="15">
                  <c:v>1.2143549971169492</c:v>
                </c:pt>
                <c:pt idx="16">
                  <c:v>1.06279263964127</c:v>
                </c:pt>
                <c:pt idx="17">
                  <c:v>0.8691546424192097</c:v>
                </c:pt>
                <c:pt idx="18">
                  <c:v>0.6274080401584421</c:v>
                </c:pt>
                <c:pt idx="19">
                  <c:v>0.3508156421682614</c:v>
                </c:pt>
                <c:pt idx="20">
                  <c:v>0.23351477545052438</c:v>
                </c:pt>
                <c:pt idx="21">
                  <c:v>0.5290584528089897</c:v>
                </c:pt>
                <c:pt idx="22">
                  <c:v>0.888016411334615</c:v>
                </c:pt>
                <c:pt idx="23">
                  <c:v>1.2011755156687374</c:v>
                </c:pt>
                <c:pt idx="24">
                  <c:v>1.437030089202527</c:v>
                </c:pt>
                <c:pt idx="25">
                  <c:v>1.5934363435830512</c:v>
                </c:pt>
                <c:pt idx="26">
                  <c:v>1.6827626963541436</c:v>
                </c:pt>
                <c:pt idx="27">
                  <c:v>1.7206457095627945</c:v>
                </c:pt>
              </c:numCache>
            </c:numRef>
          </c:val>
          <c:smooth val="0"/>
        </c:ser>
        <c:marker val="1"/>
        <c:axId val="63403961"/>
        <c:axId val="33764738"/>
      </c:lineChart>
      <c:catAx>
        <c:axId val="44693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697208"/>
        <c:crosses val="autoZero"/>
        <c:auto val="1"/>
        <c:lblOffset val="100"/>
        <c:noMultiLvlLbl val="0"/>
      </c:catAx>
      <c:valAx>
        <c:axId val="66697208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93503"/>
        <c:crossesAt val="1"/>
        <c:crossBetween val="between"/>
        <c:dispUnits/>
      </c:valAx>
      <c:catAx>
        <c:axId val="63403961"/>
        <c:scaling>
          <c:orientation val="minMax"/>
        </c:scaling>
        <c:axPos val="b"/>
        <c:delete val="1"/>
        <c:majorTickMark val="in"/>
        <c:minorTickMark val="none"/>
        <c:tickLblPos val="nextTo"/>
        <c:crossAx val="33764738"/>
        <c:crosses val="autoZero"/>
        <c:auto val="1"/>
        <c:lblOffset val="100"/>
        <c:noMultiLvlLbl val="0"/>
      </c:catAx>
      <c:valAx>
        <c:axId val="33764738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 - 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039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2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Max SPL for specified amplifier power and available Imax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92"/>
          <c:h val="0.837"/>
        </c:manualLayout>
      </c:layout>
      <c:lineChart>
        <c:grouping val="standard"/>
        <c:varyColors val="0"/>
        <c:ser>
          <c:idx val="1"/>
          <c:order val="1"/>
          <c:tx>
            <c:v>SPL closed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'Spec''s'!$AE$35:$AE$62</c:f>
              <c:numCache>
                <c:ptCount val="28"/>
                <c:pt idx="0">
                  <c:v>68.72771962633723</c:v>
                </c:pt>
                <c:pt idx="1">
                  <c:v>70.49561129594704</c:v>
                </c:pt>
                <c:pt idx="2">
                  <c:v>72.2741483297849</c:v>
                </c:pt>
                <c:pt idx="3">
                  <c:v>74.06575788238337</c:v>
                </c:pt>
                <c:pt idx="4">
                  <c:v>75.87344637647251</c:v>
                </c:pt>
                <c:pt idx="5">
                  <c:v>77.7009505839248</c:v>
                </c:pt>
                <c:pt idx="6">
                  <c:v>79.55293450503055</c:v>
                </c:pt>
                <c:pt idx="7">
                  <c:v>81.43524916785604</c:v>
                </c:pt>
                <c:pt idx="8">
                  <c:v>83.35528064583404</c:v>
                </c:pt>
                <c:pt idx="9">
                  <c:v>85.32242490938779</c:v>
                </c:pt>
                <c:pt idx="10">
                  <c:v>87.34875105111267</c:v>
                </c:pt>
                <c:pt idx="11">
                  <c:v>89.4499568597198</c:v>
                </c:pt>
                <c:pt idx="12">
                  <c:v>91.60475272610589</c:v>
                </c:pt>
                <c:pt idx="13">
                  <c:v>93.32492412990007</c:v>
                </c:pt>
                <c:pt idx="14">
                  <c:v>95.04509553369425</c:v>
                </c:pt>
                <c:pt idx="15">
                  <c:v>96.76526693748843</c:v>
                </c:pt>
                <c:pt idx="16">
                  <c:v>98.48543834128259</c:v>
                </c:pt>
                <c:pt idx="17">
                  <c:v>100.20560974507677</c:v>
                </c:pt>
                <c:pt idx="18">
                  <c:v>101.92578114887095</c:v>
                </c:pt>
                <c:pt idx="19">
                  <c:v>103.64595255266514</c:v>
                </c:pt>
                <c:pt idx="20">
                  <c:v>105.36612395645929</c:v>
                </c:pt>
                <c:pt idx="21">
                  <c:v>106.2296743736877</c:v>
                </c:pt>
                <c:pt idx="22">
                  <c:v>106.48453335225453</c:v>
                </c:pt>
                <c:pt idx="23">
                  <c:v>106.51037429445336</c:v>
                </c:pt>
                <c:pt idx="24">
                  <c:v>106.01122038334977</c:v>
                </c:pt>
                <c:pt idx="25">
                  <c:v>104.9470895847679</c:v>
                </c:pt>
                <c:pt idx="26">
                  <c:v>104.28853350764241</c:v>
                </c:pt>
                <c:pt idx="27">
                  <c:v>103.91532556011167</c:v>
                </c:pt>
              </c:numCache>
            </c:numRef>
          </c:val>
          <c:smooth val="0"/>
        </c:ser>
        <c:ser>
          <c:idx val="2"/>
          <c:order val="2"/>
          <c:tx>
            <c:v>SPL dipole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'Spec''s'!$AG$35:$AG$62</c:f>
              <c:numCache>
                <c:ptCount val="28"/>
                <c:pt idx="0">
                  <c:v>45.45405862447559</c:v>
                </c:pt>
                <c:pt idx="1">
                  <c:v>48.08203599598249</c:v>
                </c:pt>
                <c:pt idx="2">
                  <c:v>50.72065873171743</c:v>
                </c:pt>
                <c:pt idx="3">
                  <c:v>53.372353986212985</c:v>
                </c:pt>
                <c:pt idx="4">
                  <c:v>56.040128182199226</c:v>
                </c:pt>
                <c:pt idx="5">
                  <c:v>58.727718091548596</c:v>
                </c:pt>
                <c:pt idx="6">
                  <c:v>61.439787714551436</c:v>
                </c:pt>
                <c:pt idx="7">
                  <c:v>64.18218807927401</c:v>
                </c:pt>
                <c:pt idx="8">
                  <c:v>66.9623052591491</c:v>
                </c:pt>
                <c:pt idx="9">
                  <c:v>69.78953522459994</c:v>
                </c:pt>
                <c:pt idx="10">
                  <c:v>72.67594706822192</c:v>
                </c:pt>
                <c:pt idx="11">
                  <c:v>75.63723857872614</c:v>
                </c:pt>
                <c:pt idx="12">
                  <c:v>78.6521201470093</c:v>
                </c:pt>
                <c:pt idx="13">
                  <c:v>81.23237725270057</c:v>
                </c:pt>
                <c:pt idx="14">
                  <c:v>83.81263435839185</c:v>
                </c:pt>
                <c:pt idx="15">
                  <c:v>86.39289146408312</c:v>
                </c:pt>
                <c:pt idx="16">
                  <c:v>88.97314856977437</c:v>
                </c:pt>
                <c:pt idx="17">
                  <c:v>91.55340567546563</c:v>
                </c:pt>
                <c:pt idx="18">
                  <c:v>94.1336627811569</c:v>
                </c:pt>
                <c:pt idx="19">
                  <c:v>96.71391988684817</c:v>
                </c:pt>
                <c:pt idx="20">
                  <c:v>99.29417699253942</c:v>
                </c:pt>
                <c:pt idx="21">
                  <c:v>101.01781311166492</c:v>
                </c:pt>
                <c:pt idx="22">
                  <c:v>102.13275779212883</c:v>
                </c:pt>
                <c:pt idx="23">
                  <c:v>103.01868443622475</c:v>
                </c:pt>
                <c:pt idx="24">
                  <c:v>103.37961622701825</c:v>
                </c:pt>
                <c:pt idx="25">
                  <c:v>103.17557113033347</c:v>
                </c:pt>
                <c:pt idx="26">
                  <c:v>103.37710075510508</c:v>
                </c:pt>
                <c:pt idx="27">
                  <c:v>103.86397850947141</c:v>
                </c:pt>
              </c:numCache>
            </c:numRef>
          </c:val>
          <c:smooth val="0"/>
        </c:ser>
        <c:marker val="1"/>
        <c:axId val="35447187"/>
        <c:axId val="50589228"/>
      </c:lineChart>
      <c:lineChart>
        <c:grouping val="standard"/>
        <c:varyColors val="0"/>
        <c:ser>
          <c:idx val="0"/>
          <c:order val="0"/>
          <c:tx>
            <c:v>Ipeak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'Spec''s'!$AC$35:$AC$62</c:f>
              <c:numCache>
                <c:ptCount val="2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5.97102031062931</c:v>
                </c:pt>
                <c:pt idx="13">
                  <c:v>5.572186739875594</c:v>
                </c:pt>
                <c:pt idx="14">
                  <c:v>5.103128983449931</c:v>
                </c:pt>
                <c:pt idx="15">
                  <c:v>4.555477571936673</c:v>
                </c:pt>
                <c:pt idx="16">
                  <c:v>3.9200306450738394</c:v>
                </c:pt>
                <c:pt idx="17">
                  <c:v>3.1841507645214535</c:v>
                </c:pt>
                <c:pt idx="18">
                  <c:v>2.3284993167304413</c:v>
                </c:pt>
                <c:pt idx="19">
                  <c:v>1.3613786248962865</c:v>
                </c:pt>
                <c:pt idx="20">
                  <c:v>0.9878970841051689</c:v>
                </c:pt>
                <c:pt idx="21">
                  <c:v>2.3113110027426127</c:v>
                </c:pt>
                <c:pt idx="22">
                  <c:v>3.8794996871068417</c:v>
                </c:pt>
                <c:pt idx="23">
                  <c:v>5.247605762368437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</c:numCache>
            </c:numRef>
          </c:val>
          <c:smooth val="0"/>
        </c:ser>
        <c:marker val="1"/>
        <c:axId val="52649869"/>
        <c:axId val="4086774"/>
      </c:lineChart>
      <c:catAx>
        <c:axId val="35447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589228"/>
        <c:crosses val="autoZero"/>
        <c:auto val="1"/>
        <c:lblOffset val="100"/>
        <c:noMultiLvlLbl val="0"/>
      </c:catAx>
      <c:valAx>
        <c:axId val="50589228"/>
        <c:scaling>
          <c:orientation val="minMax"/>
          <c:max val="1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SPL - dB in free-space at 1m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447187"/>
        <c:crossesAt val="1"/>
        <c:crossBetween val="between"/>
        <c:dispUnits/>
      </c:valAx>
      <c:catAx>
        <c:axId val="52649869"/>
        <c:scaling>
          <c:orientation val="minMax"/>
        </c:scaling>
        <c:axPos val="b"/>
        <c:delete val="1"/>
        <c:majorTickMark val="in"/>
        <c:minorTickMark val="none"/>
        <c:tickLblPos val="nextTo"/>
        <c:crossAx val="4086774"/>
        <c:crosses val="autoZero"/>
        <c:auto val="1"/>
        <c:lblOffset val="100"/>
        <c:noMultiLvlLbl val="0"/>
      </c:catAx>
      <c:valAx>
        <c:axId val="4086774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Ipeak - A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26498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5"/>
          <c:y val="0.2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Terminal impedance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75"/>
          <c:w val="0.8075"/>
          <c:h val="0.83975"/>
        </c:manualLayout>
      </c:layout>
      <c:lineChart>
        <c:grouping val="standard"/>
        <c:varyColors val="0"/>
        <c:ser>
          <c:idx val="0"/>
          <c:order val="0"/>
          <c:tx>
            <c:v>driver unbaffled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'Spec''s'!$E$35:$E$62</c:f>
              <c:numCache>
                <c:ptCount val="28"/>
                <c:pt idx="0">
                  <c:v>6.75387033008046</c:v>
                </c:pt>
                <c:pt idx="1">
                  <c:v>7.032729053807071</c:v>
                </c:pt>
                <c:pt idx="2">
                  <c:v>7.3874541461897785</c:v>
                </c:pt>
                <c:pt idx="3">
                  <c:v>7.843805623204155</c:v>
                </c:pt>
                <c:pt idx="4">
                  <c:v>8.439608965187476</c:v>
                </c:pt>
                <c:pt idx="5">
                  <c:v>9.23275784040112</c:v>
                </c:pt>
                <c:pt idx="6">
                  <c:v>10.316506818486639</c:v>
                </c:pt>
                <c:pt idx="7">
                  <c:v>11.850942872048783</c:v>
                </c:pt>
                <c:pt idx="8">
                  <c:v>14.133840011867667</c:v>
                </c:pt>
                <c:pt idx="9">
                  <c:v>17.777848951874788</c:v>
                </c:pt>
                <c:pt idx="10">
                  <c:v>24.196386684683464</c:v>
                </c:pt>
                <c:pt idx="11">
                  <c:v>36.661951451116884</c:v>
                </c:pt>
                <c:pt idx="12">
                  <c:v>52.63040865301659</c:v>
                </c:pt>
                <c:pt idx="13">
                  <c:v>40.096118560387474</c:v>
                </c:pt>
                <c:pt idx="14">
                  <c:v>25.352527529461163</c:v>
                </c:pt>
                <c:pt idx="15">
                  <c:v>17.812653678995463</c:v>
                </c:pt>
                <c:pt idx="16">
                  <c:v>13.663245639139891</c:v>
                </c:pt>
                <c:pt idx="17">
                  <c:v>11.127443726510542</c:v>
                </c:pt>
                <c:pt idx="18">
                  <c:v>9.457931123157449</c:v>
                </c:pt>
                <c:pt idx="19">
                  <c:v>8.303063603533403</c:v>
                </c:pt>
                <c:pt idx="20">
                  <c:v>7.479164821296992</c:v>
                </c:pt>
                <c:pt idx="21">
                  <c:v>6.88214729143939</c:v>
                </c:pt>
                <c:pt idx="22">
                  <c:v>6.4492780081617465</c:v>
                </c:pt>
                <c:pt idx="23">
                  <c:v>6.141004121433994</c:v>
                </c:pt>
                <c:pt idx="24">
                  <c:v>5.931620457918753</c:v>
                </c:pt>
                <c:pt idx="25">
                  <c:v>5.8041635514795935</c:v>
                </c:pt>
                <c:pt idx="26">
                  <c:v>5.74746517253294</c:v>
                </c:pt>
                <c:pt idx="27">
                  <c:v>5.754371357719036</c:v>
                </c:pt>
              </c:numCache>
            </c:numRef>
          </c:val>
          <c:smooth val="0"/>
        </c:ser>
        <c:ser>
          <c:idx val="1"/>
          <c:order val="1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'Spec''s'!$B$35:$B$62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'Spec''s'!$J$35:$J$62</c:f>
              <c:numCache>
                <c:ptCount val="28"/>
                <c:pt idx="0">
                  <c:v>5.798935841297122</c:v>
                </c:pt>
                <c:pt idx="1">
                  <c:v>5.844894914745456</c:v>
                </c:pt>
                <c:pt idx="2">
                  <c:v>5.90214420731593</c:v>
                </c:pt>
                <c:pt idx="3">
                  <c:v>5.973806217261896</c:v>
                </c:pt>
                <c:pt idx="4">
                  <c:v>6.064051739217082</c:v>
                </c:pt>
                <c:pt idx="5">
                  <c:v>6.178551787265575</c:v>
                </c:pt>
                <c:pt idx="6">
                  <c:v>6.325181326389046</c:v>
                </c:pt>
                <c:pt idx="7">
                  <c:v>6.5151525992581965</c:v>
                </c:pt>
                <c:pt idx="8">
                  <c:v>6.764912960932154</c:v>
                </c:pt>
                <c:pt idx="9">
                  <c:v>7.099473089524877</c:v>
                </c:pt>
                <c:pt idx="10">
                  <c:v>7.558578312351513</c:v>
                </c:pt>
                <c:pt idx="11">
                  <c:v>8.20896881703146</c:v>
                </c:pt>
                <c:pt idx="12">
                  <c:v>9.170966367688518</c:v>
                </c:pt>
                <c:pt idx="13">
                  <c:v>10.683131228583784</c:v>
                </c:pt>
                <c:pt idx="14">
                  <c:v>13.285797145469205</c:v>
                </c:pt>
                <c:pt idx="15">
                  <c:v>18.463994346950557</c:v>
                </c:pt>
                <c:pt idx="16">
                  <c:v>31.389154259734593</c:v>
                </c:pt>
                <c:pt idx="17">
                  <c:v>50.17871228889535</c:v>
                </c:pt>
                <c:pt idx="18">
                  <c:v>26.306768327352053</c:v>
                </c:pt>
                <c:pt idx="19">
                  <c:v>15.3988557820553</c:v>
                </c:pt>
                <c:pt idx="20">
                  <c:v>10.925777136088891</c:v>
                </c:pt>
                <c:pt idx="21">
                  <c:v>8.675792611042464</c:v>
                </c:pt>
                <c:pt idx="22">
                  <c:v>7.407641525933168</c:v>
                </c:pt>
                <c:pt idx="23">
                  <c:v>6.651584289172998</c:v>
                </c:pt>
                <c:pt idx="24">
                  <c:v>6.195006886842375</c:v>
                </c:pt>
                <c:pt idx="25">
                  <c:v>5.92990002356024</c:v>
                </c:pt>
                <c:pt idx="26">
                  <c:v>5.7972712662143815</c:v>
                </c:pt>
                <c:pt idx="27">
                  <c:v>5.763559959050784</c:v>
                </c:pt>
              </c:numCache>
            </c:numRef>
          </c:val>
          <c:smooth val="0"/>
        </c:ser>
        <c:marker val="1"/>
        <c:axId val="36780967"/>
        <c:axId val="62593248"/>
      </c:lineChart>
      <c:catAx>
        <c:axId val="36780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93248"/>
        <c:crosses val="autoZero"/>
        <c:auto val="1"/>
        <c:lblOffset val="100"/>
        <c:noMultiLvlLbl val="0"/>
      </c:catAx>
      <c:valAx>
        <c:axId val="625932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809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75"/>
          <c:y val="0.14425"/>
          <c:w val="0.1702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Impedance model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3925"/>
          <c:w val="0.93775"/>
          <c:h val="0.929"/>
        </c:manualLayout>
      </c:layout>
      <c:lineChart>
        <c:grouping val="standard"/>
        <c:varyColors val="0"/>
        <c:ser>
          <c:idx val="0"/>
          <c:order val="0"/>
          <c:tx>
            <c:v>Zin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Test!$C$31:$C$66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Rdc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Test!$D$31:$D$66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Test!$E$31:$E$66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Test!$B$31:$B$66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cat>
          <c:val>
            <c:numRef>
              <c:f>Test!$F$31:$F$66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26468321"/>
        <c:axId val="36888298"/>
      </c:lineChart>
      <c:catAx>
        <c:axId val="26468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888298"/>
        <c:crosses val="autoZero"/>
        <c:auto val="1"/>
        <c:lblOffset val="100"/>
        <c:noMultiLvlLbl val="0"/>
      </c:catAx>
      <c:valAx>
        <c:axId val="368882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ohm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4683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75"/>
          <c:y val="0.35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Equalized SPL (free-space, 1m, 2.83V)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125"/>
          <c:w val="0.82175"/>
          <c:h val="0.84425"/>
        </c:manualLayout>
      </c:layout>
      <c:lineChart>
        <c:grouping val="standard"/>
        <c:varyColors val="0"/>
        <c:ser>
          <c:idx val="0"/>
          <c:order val="0"/>
          <c:tx>
            <c:v>driver in box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'Spec''s'!$U$35:$U$62</c:f>
              <c:numCache>
                <c:ptCount val="28"/>
                <c:pt idx="0">
                  <c:v>51.580956671036795</c:v>
                </c:pt>
                <c:pt idx="1">
                  <c:v>53.322884232363165</c:v>
                </c:pt>
                <c:pt idx="2">
                  <c:v>55.06940101627789</c:v>
                </c:pt>
                <c:pt idx="3">
                  <c:v>56.82142055365447</c:v>
                </c:pt>
                <c:pt idx="4">
                  <c:v>58.58000682674972</c:v>
                </c:pt>
                <c:pt idx="5">
                  <c:v>60.34637884575069</c:v>
                </c:pt>
                <c:pt idx="6">
                  <c:v>62.121898882345725</c:v>
                </c:pt>
                <c:pt idx="7">
                  <c:v>63.90802938605989</c:v>
                </c:pt>
                <c:pt idx="8">
                  <c:v>65.70623237136397</c:v>
                </c:pt>
                <c:pt idx="9">
                  <c:v>67.51776568183425</c:v>
                </c:pt>
                <c:pt idx="10">
                  <c:v>69.34329751085232</c:v>
                </c:pt>
                <c:pt idx="11">
                  <c:v>71.18220590406145</c:v>
                </c:pt>
                <c:pt idx="12">
                  <c:v>73.03134535786265</c:v>
                </c:pt>
                <c:pt idx="13">
                  <c:v>74.88295140498134</c:v>
                </c:pt>
                <c:pt idx="14">
                  <c:v>76.72127368990093</c:v>
                </c:pt>
                <c:pt idx="15">
                  <c:v>78.51770409709846</c:v>
                </c:pt>
                <c:pt idx="16">
                  <c:v>80.2251916634541</c:v>
                </c:pt>
                <c:pt idx="17">
                  <c:v>81.77551553576633</c:v>
                </c:pt>
                <c:pt idx="18">
                  <c:v>83.08702353491316</c:v>
                </c:pt>
                <c:pt idx="19">
                  <c:v>84.08951251441752</c:v>
                </c:pt>
                <c:pt idx="20">
                  <c:v>84.75755597776728</c:v>
                </c:pt>
                <c:pt idx="21">
                  <c:v>85.12505367497613</c:v>
                </c:pt>
                <c:pt idx="22">
                  <c:v>85.26611727623003</c:v>
                </c:pt>
                <c:pt idx="23">
                  <c:v>85.26153087045886</c:v>
                </c:pt>
                <c:pt idx="24">
                  <c:v>85.17645602632584</c:v>
                </c:pt>
                <c:pt idx="25">
                  <c:v>85.05485120841755</c:v>
                </c:pt>
                <c:pt idx="26">
                  <c:v>84.92302432732191</c:v>
                </c:pt>
                <c:pt idx="27">
                  <c:v>84.7952460694347</c:v>
                </c:pt>
              </c:numCache>
            </c:numRef>
          </c:val>
          <c:smooth val="0"/>
        </c:ser>
        <c:ser>
          <c:idx val="1"/>
          <c:order val="1"/>
          <c:tx>
            <c:v>target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'Spec''s'!$V$35:$V$62</c:f>
              <c:numCache>
                <c:ptCount val="28"/>
                <c:pt idx="0">
                  <c:v>71.02059991327963</c:v>
                </c:pt>
                <c:pt idx="1">
                  <c:v>72.36840274226304</c:v>
                </c:pt>
                <c:pt idx="2">
                  <c:v>73.65523578413429</c:v>
                </c:pt>
                <c:pt idx="3">
                  <c:v>74.8748280919235</c:v>
                </c:pt>
                <c:pt idx="4">
                  <c:v>76.0214009686402</c:v>
                </c:pt>
                <c:pt idx="5">
                  <c:v>77.0899974672194</c:v>
                </c:pt>
                <c:pt idx="6">
                  <c:v>78.07680050851516</c:v>
                </c:pt>
                <c:pt idx="7">
                  <c:v>78.97940008672037</c:v>
                </c:pt>
                <c:pt idx="8">
                  <c:v>79.79697191230936</c:v>
                </c:pt>
                <c:pt idx="9">
                  <c:v>80.53034027480776</c:v>
                </c:pt>
                <c:pt idx="10">
                  <c:v>81.18191518002274</c:v>
                </c:pt>
                <c:pt idx="11">
                  <c:v>81.75551370710022</c:v>
                </c:pt>
                <c:pt idx="12">
                  <c:v>82.25609280310519</c:v>
                </c:pt>
                <c:pt idx="13">
                  <c:v>82.6894311650281</c:v>
                </c:pt>
                <c:pt idx="14">
                  <c:v>83.06179973983886</c:v>
                </c:pt>
                <c:pt idx="15">
                  <c:v>83.37965475391009</c:v>
                </c:pt>
                <c:pt idx="16">
                  <c:v>83.6493769645161</c:v>
                </c:pt>
                <c:pt idx="17">
                  <c:v>83.87706935657054</c:v>
                </c:pt>
                <c:pt idx="18">
                  <c:v>84.06841543425867</c:v>
                </c:pt>
                <c:pt idx="19">
                  <c:v>84.22859300885098</c:v>
                </c:pt>
                <c:pt idx="20">
                  <c:v>84.36223424480164</c:v>
                </c:pt>
                <c:pt idx="21">
                  <c:v>84.47342122555301</c:v>
                </c:pt>
                <c:pt idx="22">
                  <c:v>84.5657066469345</c:v>
                </c:pt>
                <c:pt idx="23">
                  <c:v>84.64215064732454</c:v>
                </c:pt>
                <c:pt idx="24">
                  <c:v>84.70536661323098</c:v>
                </c:pt>
                <c:pt idx="25">
                  <c:v>84.75757064107296</c:v>
                </c:pt>
                <c:pt idx="26">
                  <c:v>84.80063096178102</c:v>
                </c:pt>
                <c:pt idx="27">
                  <c:v>84.83611495114235</c:v>
                </c:pt>
              </c:numCache>
            </c:numRef>
          </c:val>
          <c:smooth val="0"/>
        </c:ser>
        <c:ser>
          <c:idx val="2"/>
          <c:order val="2"/>
          <c:tx>
            <c:v>equalizer gain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'Spec''s'!$T$35:$T$62</c:f>
              <c:numCache>
                <c:ptCount val="28"/>
                <c:pt idx="0">
                  <c:v>10</c:v>
                </c:pt>
                <c:pt idx="1">
                  <c:v>11.040895136738122</c:v>
                </c:pt>
                <c:pt idx="2">
                  <c:v>12.190136542044751</c:v>
                </c:pt>
                <c:pt idx="3">
                  <c:v>13.459001926323557</c:v>
                </c:pt>
                <c:pt idx="4">
                  <c:v>14.859942891369478</c:v>
                </c:pt>
                <c:pt idx="5">
                  <c:v>16.40670712015275</c:v>
                </c:pt>
                <c:pt idx="6">
                  <c:v>18.11447328527812</c:v>
                </c:pt>
                <c:pt idx="7">
                  <c:v>19.999999999999982</c:v>
                </c:pt>
                <c:pt idx="8">
                  <c:v>22.081790273476226</c:v>
                </c:pt>
                <c:pt idx="9">
                  <c:v>24.380273084089485</c:v>
                </c:pt>
                <c:pt idx="10">
                  <c:v>26.918003852647093</c:v>
                </c:pt>
                <c:pt idx="11">
                  <c:v>29.719885782738935</c:v>
                </c:pt>
                <c:pt idx="12">
                  <c:v>32.81341424030548</c:v>
                </c:pt>
                <c:pt idx="13">
                  <c:v>36.22894657055622</c:v>
                </c:pt>
                <c:pt idx="14">
                  <c:v>39.99999999999994</c:v>
                </c:pt>
                <c:pt idx="15">
                  <c:v>44.163580546952424</c:v>
                </c:pt>
                <c:pt idx="16">
                  <c:v>48.76054616817894</c:v>
                </c:pt>
                <c:pt idx="17">
                  <c:v>53.83600770529416</c:v>
                </c:pt>
                <c:pt idx="18">
                  <c:v>59.439771565477834</c:v>
                </c:pt>
                <c:pt idx="19">
                  <c:v>65.62682848061091</c:v>
                </c:pt>
                <c:pt idx="20">
                  <c:v>72.4578931411124</c:v>
                </c:pt>
                <c:pt idx="21">
                  <c:v>79.99999999999984</c:v>
                </c:pt>
                <c:pt idx="22">
                  <c:v>88.3271610939048</c:v>
                </c:pt>
                <c:pt idx="23">
                  <c:v>97.52109233635782</c:v>
                </c:pt>
                <c:pt idx="24">
                  <c:v>107.67201541058824</c:v>
                </c:pt>
                <c:pt idx="25">
                  <c:v>118.8795431309556</c:v>
                </c:pt>
                <c:pt idx="26">
                  <c:v>131.25365696122176</c:v>
                </c:pt>
                <c:pt idx="27">
                  <c:v>144.91578628222473</c:v>
                </c:pt>
              </c:numCache>
            </c:numRef>
          </c:cat>
          <c:val>
            <c:numRef>
              <c:f>'Spec''s'!$W$35:$W$62</c:f>
              <c:numCache>
                <c:ptCount val="28"/>
                <c:pt idx="0">
                  <c:v>19.43964324224283</c:v>
                </c:pt>
                <c:pt idx="1">
                  <c:v>19.04551850989988</c:v>
                </c:pt>
                <c:pt idx="2">
                  <c:v>18.585834767856404</c:v>
                </c:pt>
                <c:pt idx="3">
                  <c:v>18.053407538269035</c:v>
                </c:pt>
                <c:pt idx="4">
                  <c:v>17.441394141890477</c:v>
                </c:pt>
                <c:pt idx="5">
                  <c:v>16.743618621468713</c:v>
                </c:pt>
                <c:pt idx="6">
                  <c:v>15.954901626169438</c:v>
                </c:pt>
                <c:pt idx="7">
                  <c:v>15.071370700660488</c:v>
                </c:pt>
                <c:pt idx="8">
                  <c:v>14.090739540945393</c:v>
                </c:pt>
                <c:pt idx="9">
                  <c:v>13.012574592973507</c:v>
                </c:pt>
                <c:pt idx="10">
                  <c:v>11.838617669170418</c:v>
                </c:pt>
                <c:pt idx="11">
                  <c:v>10.573307803038773</c:v>
                </c:pt>
                <c:pt idx="12">
                  <c:v>9.224747445242542</c:v>
                </c:pt>
                <c:pt idx="13">
                  <c:v>7.806479760046756</c:v>
                </c:pt>
                <c:pt idx="14">
                  <c:v>6.340526049937935</c:v>
                </c:pt>
                <c:pt idx="15">
                  <c:v>4.861950656811629</c:v>
                </c:pt>
                <c:pt idx="16">
                  <c:v>3.4241853010619963</c:v>
                </c:pt>
                <c:pt idx="17">
                  <c:v>2.101553820804213</c:v>
                </c:pt>
                <c:pt idx="18">
                  <c:v>0.9813918993455104</c:v>
                </c:pt>
                <c:pt idx="19">
                  <c:v>0.1390804944334576</c:v>
                </c:pt>
                <c:pt idx="20">
                  <c:v>-0.3953217329656411</c:v>
                </c:pt>
                <c:pt idx="21">
                  <c:v>-0.6516324494231185</c:v>
                </c:pt>
                <c:pt idx="22">
                  <c:v>-0.7004106292955328</c:v>
                </c:pt>
                <c:pt idx="23">
                  <c:v>-0.6193802231343142</c:v>
                </c:pt>
                <c:pt idx="24">
                  <c:v>-0.47108941309485886</c:v>
                </c:pt>
                <c:pt idx="25">
                  <c:v>-0.2972805673445862</c:v>
                </c:pt>
                <c:pt idx="26">
                  <c:v>-0.12239336554088709</c:v>
                </c:pt>
                <c:pt idx="27">
                  <c:v>0.04086888170765235</c:v>
                </c:pt>
              </c:numCache>
            </c:numRef>
          </c:val>
          <c:smooth val="0"/>
        </c:ser>
        <c:ser>
          <c:idx val="3"/>
          <c:order val="3"/>
          <c:tx>
            <c:v>ref. sensitivity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'Spec''s'!$X$35:$X$62</c:f>
              <c:numCache>
                <c:ptCount val="28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85</c:v>
                </c:pt>
                <c:pt idx="14">
                  <c:v>85</c:v>
                </c:pt>
                <c:pt idx="15">
                  <c:v>85</c:v>
                </c:pt>
                <c:pt idx="16">
                  <c:v>85</c:v>
                </c:pt>
                <c:pt idx="17">
                  <c:v>85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85</c:v>
                </c:pt>
                <c:pt idx="25">
                  <c:v>85</c:v>
                </c:pt>
                <c:pt idx="26">
                  <c:v>85</c:v>
                </c:pt>
                <c:pt idx="27">
                  <c:v>85</c:v>
                </c:pt>
              </c:numCache>
            </c:numRef>
          </c:val>
          <c:smooth val="0"/>
        </c:ser>
        <c:marker val="1"/>
        <c:axId val="63559227"/>
        <c:axId val="35162132"/>
      </c:lineChart>
      <c:catAx>
        <c:axId val="6355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62132"/>
        <c:crosses val="autoZero"/>
        <c:auto val="1"/>
        <c:lblOffset val="100"/>
        <c:noMultiLvlLbl val="0"/>
      </c:catAx>
      <c:valAx>
        <c:axId val="35162132"/>
        <c:scaling>
          <c:orientation val="minMax"/>
          <c:max val="10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5922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5"/>
          <c:y val="0.426"/>
          <c:w val="0.1855"/>
          <c:h val="0.24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2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</xdr:row>
      <xdr:rowOff>123825</xdr:rowOff>
    </xdr:from>
    <xdr:to>
      <xdr:col>14</xdr:col>
      <xdr:colOff>0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2419350" y="609600"/>
        <a:ext cx="59817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62"/>
  <sheetViews>
    <sheetView showGridLines="0" zoomScale="70" zoomScaleNormal="70" workbookViewId="0" topLeftCell="A1">
      <selection activeCell="I7" sqref="I7"/>
    </sheetView>
  </sheetViews>
  <sheetFormatPr defaultColWidth="9.140625" defaultRowHeight="12.75"/>
  <cols>
    <col min="1" max="1" width="2.421875" style="0" customWidth="1"/>
    <col min="5" max="5" width="10.57421875" style="0" customWidth="1"/>
    <col min="7" max="7" width="2.421875" style="0" customWidth="1"/>
    <col min="9" max="9" width="10.7109375" style="0" customWidth="1"/>
    <col min="11" max="11" width="2.421875" style="0" customWidth="1"/>
    <col min="13" max="13" width="2.421875" style="0" customWidth="1"/>
    <col min="19" max="19" width="10.421875" style="0" customWidth="1"/>
    <col min="21" max="21" width="9.28125" style="0" customWidth="1"/>
    <col min="27" max="27" width="4.140625" style="0" customWidth="1"/>
    <col min="32" max="32" width="4.7109375" style="0" customWidth="1"/>
  </cols>
  <sheetData>
    <row r="2" spans="2:14" ht="12.75">
      <c r="B2" s="37" t="s">
        <v>135</v>
      </c>
      <c r="J2" s="52" t="s">
        <v>167</v>
      </c>
      <c r="L2" s="38" t="s">
        <v>160</v>
      </c>
      <c r="N2" s="38" t="s">
        <v>162</v>
      </c>
    </row>
    <row r="3" spans="2:14" ht="12.75">
      <c r="B3" s="2" t="s">
        <v>123</v>
      </c>
      <c r="G3" s="37" t="s">
        <v>77</v>
      </c>
      <c r="L3" s="38" t="s">
        <v>161</v>
      </c>
      <c r="M3" s="38"/>
      <c r="N3" s="38" t="s">
        <v>166</v>
      </c>
    </row>
    <row r="5" spans="2:24" ht="12.75">
      <c r="B5" s="2" t="s">
        <v>32</v>
      </c>
      <c r="H5" t="s">
        <v>33</v>
      </c>
      <c r="L5" t="s">
        <v>47</v>
      </c>
      <c r="Q5" t="s">
        <v>152</v>
      </c>
      <c r="U5" s="20" t="s">
        <v>128</v>
      </c>
      <c r="V5" s="20"/>
      <c r="W5" s="20"/>
      <c r="X5" s="20"/>
    </row>
    <row r="6" spans="2:24" ht="12.75">
      <c r="B6" s="4" t="s">
        <v>35</v>
      </c>
      <c r="C6" s="18" t="s">
        <v>168</v>
      </c>
      <c r="D6" s="19"/>
      <c r="E6" s="19"/>
      <c r="F6" s="6"/>
      <c r="H6" s="4" t="s">
        <v>36</v>
      </c>
      <c r="I6" s="5">
        <v>14</v>
      </c>
      <c r="J6" s="6" t="s">
        <v>17</v>
      </c>
      <c r="K6" s="20"/>
      <c r="L6" s="4" t="s">
        <v>0</v>
      </c>
      <c r="M6" s="19"/>
      <c r="N6" s="25">
        <f>C7</f>
        <v>5.6</v>
      </c>
      <c r="O6" s="6" t="s">
        <v>12</v>
      </c>
      <c r="Q6" s="4" t="s">
        <v>150</v>
      </c>
      <c r="R6" s="5">
        <v>120</v>
      </c>
      <c r="S6" s="6" t="s">
        <v>56</v>
      </c>
      <c r="U6" s="60">
        <v>47</v>
      </c>
      <c r="V6" s="61" t="s">
        <v>125</v>
      </c>
      <c r="W6" s="35">
        <f>61.02*U6</f>
        <v>2867.94</v>
      </c>
      <c r="X6" s="6" t="s">
        <v>124</v>
      </c>
    </row>
    <row r="7" spans="2:24" ht="12.75">
      <c r="B7" s="7" t="s">
        <v>0</v>
      </c>
      <c r="C7" s="10">
        <v>5.6</v>
      </c>
      <c r="D7" s="20" t="s">
        <v>69</v>
      </c>
      <c r="E7" s="20" t="s">
        <v>78</v>
      </c>
      <c r="F7" s="9"/>
      <c r="H7" s="7" t="s">
        <v>25</v>
      </c>
      <c r="I7" s="10">
        <v>100</v>
      </c>
      <c r="J7" s="9"/>
      <c r="K7" s="20"/>
      <c r="L7" s="7" t="s">
        <v>1</v>
      </c>
      <c r="M7" s="20"/>
      <c r="N7" s="21">
        <f>C8</f>
        <v>3.3</v>
      </c>
      <c r="O7" s="9" t="s">
        <v>13</v>
      </c>
      <c r="Q7" s="7" t="s">
        <v>151</v>
      </c>
      <c r="R7" s="10">
        <v>8</v>
      </c>
      <c r="S7" s="9" t="s">
        <v>12</v>
      </c>
      <c r="U7" s="62">
        <v>3051</v>
      </c>
      <c r="V7" s="47" t="s">
        <v>126</v>
      </c>
      <c r="W7" s="16">
        <f>U7/61.02</f>
        <v>50</v>
      </c>
      <c r="X7" s="9" t="s">
        <v>17</v>
      </c>
    </row>
    <row r="8" spans="2:24" ht="12.75">
      <c r="B8" s="7" t="s">
        <v>1</v>
      </c>
      <c r="C8" s="10">
        <v>3.3</v>
      </c>
      <c r="D8" s="20" t="s">
        <v>76</v>
      </c>
      <c r="E8" s="20"/>
      <c r="F8" s="9"/>
      <c r="H8" s="69"/>
      <c r="I8" s="20"/>
      <c r="J8" s="9"/>
      <c r="K8" s="20"/>
      <c r="L8" s="7" t="s">
        <v>20</v>
      </c>
      <c r="M8" s="20"/>
      <c r="N8" s="16">
        <f>1000*C15/(C10^2)</f>
        <v>491.15724721261057</v>
      </c>
      <c r="O8" s="9" t="s">
        <v>24</v>
      </c>
      <c r="Q8" s="7" t="s">
        <v>163</v>
      </c>
      <c r="R8" s="10">
        <v>6</v>
      </c>
      <c r="S8" s="9" t="s">
        <v>55</v>
      </c>
      <c r="U8" s="62">
        <v>2868</v>
      </c>
      <c r="V8" s="47" t="s">
        <v>126</v>
      </c>
      <c r="W8" s="11">
        <f>U8/1728</f>
        <v>1.6597222222222223</v>
      </c>
      <c r="X8" s="9" t="s">
        <v>127</v>
      </c>
    </row>
    <row r="9" spans="2:24" ht="12.75">
      <c r="B9" s="7" t="s">
        <v>2</v>
      </c>
      <c r="C9" s="10">
        <v>33.3</v>
      </c>
      <c r="D9" s="20" t="s">
        <v>14</v>
      </c>
      <c r="E9" s="31">
        <f>1/(2*PI()*SQRT(E15*E16*0.000000001))</f>
        <v>33.18970747607848</v>
      </c>
      <c r="F9" s="9" t="s">
        <v>14</v>
      </c>
      <c r="H9" s="7" t="s">
        <v>29</v>
      </c>
      <c r="I9" s="8">
        <f>I6/(1.2*(343*C18*0.0001)^2)</f>
        <v>0.08836269141783411</v>
      </c>
      <c r="J9" s="9" t="s">
        <v>16</v>
      </c>
      <c r="K9" s="20"/>
      <c r="L9" s="7" t="s">
        <v>19</v>
      </c>
      <c r="M9" s="20"/>
      <c r="N9" s="16">
        <f>I15*C10^2</f>
        <v>7.684344685745274</v>
      </c>
      <c r="O9" s="9" t="s">
        <v>13</v>
      </c>
      <c r="Q9" s="69"/>
      <c r="R9" s="20"/>
      <c r="S9" s="9"/>
      <c r="U9" s="62">
        <v>1.77</v>
      </c>
      <c r="V9" s="20" t="s">
        <v>144</v>
      </c>
      <c r="W9" s="16">
        <f>28.32*U9</f>
        <v>50.126400000000004</v>
      </c>
      <c r="X9" s="9" t="s">
        <v>17</v>
      </c>
    </row>
    <row r="10" spans="2:24" ht="12.75">
      <c r="B10" s="7" t="s">
        <v>11</v>
      </c>
      <c r="C10" s="10">
        <v>10.2</v>
      </c>
      <c r="D10" s="20" t="s">
        <v>70</v>
      </c>
      <c r="E10" s="32"/>
      <c r="F10" s="9"/>
      <c r="H10" s="7" t="s">
        <v>79</v>
      </c>
      <c r="I10" s="16">
        <f>I9*C10^2</f>
        <v>9.19325441511146</v>
      </c>
      <c r="J10" s="9" t="s">
        <v>13</v>
      </c>
      <c r="K10" s="20"/>
      <c r="L10" s="12" t="s">
        <v>21</v>
      </c>
      <c r="M10" s="23"/>
      <c r="N10" s="26">
        <f>((C10^2)/C14)*I12/(I12+((C10^2)/C14))</f>
        <v>42.994235958345755</v>
      </c>
      <c r="O10" s="14" t="s">
        <v>12</v>
      </c>
      <c r="Q10" s="7" t="s">
        <v>154</v>
      </c>
      <c r="R10" s="16">
        <f>1.41*SQRT(R6*R7)</f>
        <v>43.68725214521966</v>
      </c>
      <c r="S10" s="9" t="s">
        <v>164</v>
      </c>
      <c r="U10" s="63">
        <v>3500</v>
      </c>
      <c r="V10" s="23" t="s">
        <v>144</v>
      </c>
      <c r="W10" s="26">
        <f>U10/35.31</f>
        <v>99.12206173888416</v>
      </c>
      <c r="X10" s="14" t="s">
        <v>142</v>
      </c>
    </row>
    <row r="11" spans="2:19" ht="12.75">
      <c r="B11" s="7" t="s">
        <v>3</v>
      </c>
      <c r="C11" s="10">
        <v>4.85</v>
      </c>
      <c r="D11" s="20"/>
      <c r="E11" s="33">
        <f>E14/(2*PI()*E9*E16/1000)</f>
        <v>4.843747685801752</v>
      </c>
      <c r="F11" s="9"/>
      <c r="H11" s="7" t="s">
        <v>30</v>
      </c>
      <c r="I11" s="11">
        <f>C10^2/I12</f>
        <v>0.21985925975745665</v>
      </c>
      <c r="J11" s="9" t="s">
        <v>15</v>
      </c>
      <c r="Q11" s="12" t="s">
        <v>153</v>
      </c>
      <c r="R11" s="26">
        <f>1.41*SQRT(R6/R7)</f>
        <v>5.460906518152457</v>
      </c>
      <c r="S11" s="14" t="s">
        <v>165</v>
      </c>
    </row>
    <row r="12" spans="2:12" ht="12.75">
      <c r="B12" s="7" t="s">
        <v>4</v>
      </c>
      <c r="C12" s="10">
        <v>0.57</v>
      </c>
      <c r="D12" s="20"/>
      <c r="E12" s="33">
        <f>C7/(2*PI()*E9*E16/1000)</f>
        <v>0.5735771961656824</v>
      </c>
      <c r="F12" s="9"/>
      <c r="H12" s="12" t="s">
        <v>31</v>
      </c>
      <c r="I12" s="13">
        <f>I7*2*PI()*I17*I10/1000</f>
        <v>473.21181793650345</v>
      </c>
      <c r="J12" s="14" t="s">
        <v>12</v>
      </c>
      <c r="L12" t="s">
        <v>82</v>
      </c>
    </row>
    <row r="13" spans="2:18" ht="12.75">
      <c r="B13" s="7" t="s">
        <v>5</v>
      </c>
      <c r="C13" s="10">
        <v>0.51</v>
      </c>
      <c r="D13" s="20"/>
      <c r="E13" s="33">
        <f>E11*E12/(E11+E12)</f>
        <v>0.5128478127284083</v>
      </c>
      <c r="F13" s="9"/>
      <c r="K13" s="20"/>
      <c r="L13" s="4" t="s">
        <v>83</v>
      </c>
      <c r="M13" s="19"/>
      <c r="N13" s="5">
        <v>20</v>
      </c>
      <c r="O13" s="6" t="s">
        <v>14</v>
      </c>
      <c r="Q13" t="s">
        <v>155</v>
      </c>
      <c r="R13" s="1"/>
    </row>
    <row r="14" spans="2:21" ht="12.75">
      <c r="B14" s="7" t="s">
        <v>6</v>
      </c>
      <c r="C14" s="10">
        <v>2.2</v>
      </c>
      <c r="D14" s="20" t="s">
        <v>71</v>
      </c>
      <c r="E14" s="32">
        <f>(C10^2)/C14</f>
        <v>47.29090909090908</v>
      </c>
      <c r="F14" s="9" t="s">
        <v>12</v>
      </c>
      <c r="H14" s="24" t="s">
        <v>34</v>
      </c>
      <c r="K14" s="20"/>
      <c r="L14" s="7" t="s">
        <v>84</v>
      </c>
      <c r="M14" s="20"/>
      <c r="N14" s="10">
        <v>0.5</v>
      </c>
      <c r="O14" s="9"/>
      <c r="Q14" s="4" t="s">
        <v>156</v>
      </c>
      <c r="R14" s="5">
        <v>400</v>
      </c>
      <c r="S14" s="6" t="s">
        <v>46</v>
      </c>
      <c r="U14" t="s">
        <v>138</v>
      </c>
    </row>
    <row r="15" spans="2:23" ht="12.75">
      <c r="B15" s="7" t="s">
        <v>7</v>
      </c>
      <c r="C15" s="10">
        <v>51.1</v>
      </c>
      <c r="D15" s="20" t="s">
        <v>72</v>
      </c>
      <c r="E15" s="31">
        <f>1000*C15/(C10^2)</f>
        <v>491.15724721261057</v>
      </c>
      <c r="F15" s="9" t="s">
        <v>24</v>
      </c>
      <c r="H15" s="4" t="s">
        <v>22</v>
      </c>
      <c r="I15" s="15">
        <f>C16*I9/(C16+I9)</f>
        <v>0.07385952216210376</v>
      </c>
      <c r="J15" s="6" t="s">
        <v>16</v>
      </c>
      <c r="K15" s="20"/>
      <c r="L15" s="69"/>
      <c r="M15" s="20"/>
      <c r="N15" s="20"/>
      <c r="O15" s="9"/>
      <c r="Q15" s="69"/>
      <c r="R15" s="20"/>
      <c r="S15" s="9"/>
      <c r="U15" s="4" t="s">
        <v>137</v>
      </c>
      <c r="V15" s="64">
        <f>0.014*C18*C19/I6</f>
        <v>2.68</v>
      </c>
      <c r="W15" s="6" t="s">
        <v>112</v>
      </c>
    </row>
    <row r="16" spans="2:23" ht="12.75">
      <c r="B16" s="7" t="s">
        <v>9</v>
      </c>
      <c r="C16" s="10">
        <v>0.45</v>
      </c>
      <c r="D16" s="20" t="s">
        <v>73</v>
      </c>
      <c r="E16" s="31">
        <f>C16*C10^2</f>
        <v>46.818</v>
      </c>
      <c r="F16" s="9" t="s">
        <v>13</v>
      </c>
      <c r="H16" s="7" t="s">
        <v>23</v>
      </c>
      <c r="I16" s="16">
        <f>I15*I6/I9</f>
        <v>11.702148199401215</v>
      </c>
      <c r="J16" s="9" t="s">
        <v>17</v>
      </c>
      <c r="K16" s="20"/>
      <c r="L16" s="7" t="s">
        <v>85</v>
      </c>
      <c r="M16" s="20"/>
      <c r="N16" s="51">
        <f>N13*SQRT(-(1-1/(2*N14^2))+SQRT(1+(1-1/(2*N14^2))^2))</f>
        <v>31.075479480600748</v>
      </c>
      <c r="O16" s="9" t="s">
        <v>14</v>
      </c>
      <c r="P16" t="s">
        <v>57</v>
      </c>
      <c r="Q16" s="12" t="s">
        <v>157</v>
      </c>
      <c r="R16" s="13">
        <f>170*343/R14</f>
        <v>145.775</v>
      </c>
      <c r="S16" s="14" t="s">
        <v>14</v>
      </c>
      <c r="U16" s="12" t="s">
        <v>137</v>
      </c>
      <c r="V16" s="13">
        <f>20*LOG(V15/100)</f>
        <v>-31.437304119424226</v>
      </c>
      <c r="W16" s="14" t="s">
        <v>60</v>
      </c>
    </row>
    <row r="17" spans="2:21" ht="12.75">
      <c r="B17" s="7" t="s">
        <v>8</v>
      </c>
      <c r="C17" s="10">
        <v>69.3</v>
      </c>
      <c r="D17" s="20" t="s">
        <v>17</v>
      </c>
      <c r="E17" s="34">
        <f>C17/(1.2*(343*C18*0.0001)^2)</f>
        <v>0.4373953225182788</v>
      </c>
      <c r="F17" s="9" t="s">
        <v>16</v>
      </c>
      <c r="H17" s="7" t="s">
        <v>18</v>
      </c>
      <c r="I17" s="16">
        <f>E9*SQRT(C16/I15)</f>
        <v>81.92311074334978</v>
      </c>
      <c r="J17" s="9" t="s">
        <v>14</v>
      </c>
      <c r="K17" s="20"/>
      <c r="L17" s="49" t="s">
        <v>94</v>
      </c>
      <c r="M17" s="23"/>
      <c r="N17" s="22">
        <v>85</v>
      </c>
      <c r="O17" s="14" t="s">
        <v>95</v>
      </c>
      <c r="U17" t="s">
        <v>139</v>
      </c>
    </row>
    <row r="18" spans="2:11" ht="12.75">
      <c r="B18" s="7" t="s">
        <v>10</v>
      </c>
      <c r="C18" s="10">
        <v>335</v>
      </c>
      <c r="D18" s="20" t="s">
        <v>74</v>
      </c>
      <c r="E18" s="20"/>
      <c r="F18" s="9"/>
      <c r="H18" s="7" t="s">
        <v>26</v>
      </c>
      <c r="I18" s="11">
        <f>N10/(2*PI()*I17*N9/1000)</f>
        <v>10.86968842312119</v>
      </c>
      <c r="J18" s="9"/>
      <c r="K18" s="20"/>
    </row>
    <row r="19" spans="2:21" ht="12.75">
      <c r="B19" s="12" t="s">
        <v>45</v>
      </c>
      <c r="C19" s="22">
        <v>8</v>
      </c>
      <c r="D19" s="23" t="s">
        <v>75</v>
      </c>
      <c r="E19" s="23"/>
      <c r="F19" s="14"/>
      <c r="H19" s="7" t="s">
        <v>27</v>
      </c>
      <c r="I19" s="11">
        <f>N6/(2*PI()*I17*N9/1000)</f>
        <v>1.4157771108771833</v>
      </c>
      <c r="J19" s="9"/>
      <c r="L19" t="s">
        <v>86</v>
      </c>
      <c r="U19" t="s">
        <v>140</v>
      </c>
    </row>
    <row r="20" spans="8:23" ht="12.75">
      <c r="H20" s="12" t="s">
        <v>28</v>
      </c>
      <c r="I20" s="17">
        <f>I18*I19/(I18+I19)</f>
        <v>1.2526229493896297</v>
      </c>
      <c r="J20" s="14"/>
      <c r="L20" s="4" t="s">
        <v>87</v>
      </c>
      <c r="M20" s="19"/>
      <c r="N20" s="25">
        <f>N13</f>
        <v>20</v>
      </c>
      <c r="O20" s="6" t="s">
        <v>14</v>
      </c>
      <c r="U20" s="65" t="s">
        <v>141</v>
      </c>
      <c r="V20" s="66">
        <f>196.9-3+20*LOG(0.0001*C18*C19/I6)</f>
        <v>159.54013516701102</v>
      </c>
      <c r="W20" s="67" t="s">
        <v>60</v>
      </c>
    </row>
    <row r="21" spans="2:15" ht="12.75">
      <c r="B21" t="s">
        <v>40</v>
      </c>
      <c r="L21" s="12" t="s">
        <v>84</v>
      </c>
      <c r="M21" s="23"/>
      <c r="N21" s="30">
        <f>N14</f>
        <v>0.5</v>
      </c>
      <c r="O21" s="14"/>
    </row>
    <row r="22" spans="2:21" ht="12.75">
      <c r="B22" s="4" t="s">
        <v>37</v>
      </c>
      <c r="C22" s="35" t="e">
        <f>(E9/(2*E13))*(1-SQRT(1-(2*E13)^2))</f>
        <v>#NUM!</v>
      </c>
      <c r="D22" s="6" t="s">
        <v>14</v>
      </c>
      <c r="H22" t="s">
        <v>42</v>
      </c>
      <c r="L22" s="50" t="s">
        <v>88</v>
      </c>
      <c r="M22" s="20"/>
      <c r="N22" s="21"/>
      <c r="O22" s="9"/>
      <c r="U22" t="s">
        <v>145</v>
      </c>
    </row>
    <row r="23" spans="2:23" ht="12.75">
      <c r="B23" s="12" t="s">
        <v>38</v>
      </c>
      <c r="C23" s="13" t="e">
        <f>(E9/(2*E13))*(1+SQRT(1-(2*E13)^2))</f>
        <v>#NUM!</v>
      </c>
      <c r="D23" s="14" t="s">
        <v>14</v>
      </c>
      <c r="H23" s="4" t="s">
        <v>37</v>
      </c>
      <c r="I23" s="35" t="e">
        <f>(I17/(2*I20))*(1-SQRT(1-(2*I20)^2))</f>
        <v>#NUM!</v>
      </c>
      <c r="J23" s="6" t="s">
        <v>14</v>
      </c>
      <c r="L23" s="7" t="s">
        <v>89</v>
      </c>
      <c r="M23" s="20"/>
      <c r="N23" s="51" t="e">
        <f>I23</f>
        <v>#NUM!</v>
      </c>
      <c r="O23" s="9" t="s">
        <v>14</v>
      </c>
      <c r="U23" s="4" t="s">
        <v>143</v>
      </c>
      <c r="V23" s="68">
        <v>99</v>
      </c>
      <c r="W23" s="6" t="s">
        <v>142</v>
      </c>
    </row>
    <row r="24" spans="3:23" ht="12.75">
      <c r="C24" s="36"/>
      <c r="H24" s="12" t="s">
        <v>38</v>
      </c>
      <c r="I24" s="13" t="e">
        <f>(I17/(2*I20))*(1+SQRT(1-(2*I20)^2))</f>
        <v>#NUM!</v>
      </c>
      <c r="J24" s="14" t="s">
        <v>14</v>
      </c>
      <c r="L24" s="12" t="s">
        <v>90</v>
      </c>
      <c r="M24" s="23"/>
      <c r="N24" s="13" t="e">
        <f>I24</f>
        <v>#NUM!</v>
      </c>
      <c r="O24" s="14" t="s">
        <v>14</v>
      </c>
      <c r="U24" s="69"/>
      <c r="V24" s="20"/>
      <c r="W24" s="9"/>
    </row>
    <row r="25" spans="2:23" ht="12.75">
      <c r="B25" t="s">
        <v>41</v>
      </c>
      <c r="C25" s="36"/>
      <c r="I25" s="36"/>
      <c r="L25" s="50" t="s">
        <v>91</v>
      </c>
      <c r="M25" s="20"/>
      <c r="N25" s="21"/>
      <c r="O25" s="9"/>
      <c r="U25" s="12" t="s">
        <v>141</v>
      </c>
      <c r="V25" s="13">
        <f>196.9-3+20*LOG(C18*C19*0.0000001)-20*LOG(V23)</f>
        <v>82.54999198862478</v>
      </c>
      <c r="W25" s="14" t="s">
        <v>60</v>
      </c>
    </row>
    <row r="26" spans="2:21" ht="12.75">
      <c r="B26" s="4" t="s">
        <v>39</v>
      </c>
      <c r="C26" s="35">
        <f>E9/(2*E13)</f>
        <v>32.35824220396446</v>
      </c>
      <c r="D26" s="6" t="s">
        <v>14</v>
      </c>
      <c r="H26" t="s">
        <v>43</v>
      </c>
      <c r="I26" s="36"/>
      <c r="L26" s="7" t="s">
        <v>92</v>
      </c>
      <c r="M26" s="20"/>
      <c r="N26" s="51">
        <f>SQRT(I27^2+I28^2)</f>
        <v>81.92311074334978</v>
      </c>
      <c r="O26" s="9" t="s">
        <v>14</v>
      </c>
      <c r="U26" t="s">
        <v>146</v>
      </c>
    </row>
    <row r="27" spans="2:15" ht="12.75">
      <c r="B27" s="27" t="s">
        <v>44</v>
      </c>
      <c r="C27" s="13">
        <f>C26*SQRT(-1+(2*E13)^2)</f>
        <v>7.382468680409925</v>
      </c>
      <c r="D27" s="14" t="s">
        <v>14</v>
      </c>
      <c r="H27" s="4" t="s">
        <v>39</v>
      </c>
      <c r="I27" s="35">
        <f>I17/(2*I20)</f>
        <v>32.70062662641969</v>
      </c>
      <c r="J27" s="6" t="s">
        <v>14</v>
      </c>
      <c r="L27" s="12" t="s">
        <v>93</v>
      </c>
      <c r="M27" s="23"/>
      <c r="N27" s="17">
        <f>N26/(2*I27)</f>
        <v>1.2526229493896297</v>
      </c>
      <c r="O27" s="14"/>
    </row>
    <row r="28" spans="8:15" ht="12.75">
      <c r="H28" s="27" t="s">
        <v>44</v>
      </c>
      <c r="I28" s="13">
        <f>I27*SQRT(-1+(2*I20)^2)</f>
        <v>75.1136811247235</v>
      </c>
      <c r="J28" s="14" t="s">
        <v>14</v>
      </c>
      <c r="L28" s="65" t="s">
        <v>148</v>
      </c>
      <c r="M28" s="70"/>
      <c r="N28" s="72">
        <f>((I17/N13)-(I20/N14))/((I20/N14)-(N13/I17))</f>
        <v>0.7035953319984657</v>
      </c>
      <c r="O28" s="71" t="s">
        <v>149</v>
      </c>
    </row>
    <row r="29" ht="12.75">
      <c r="E29" t="s">
        <v>57</v>
      </c>
    </row>
    <row r="30" ht="12.75">
      <c r="AB30" t="s">
        <v>158</v>
      </c>
    </row>
    <row r="31" spans="3:33" ht="12.75">
      <c r="C31" t="s">
        <v>129</v>
      </c>
      <c r="H31" t="s">
        <v>130</v>
      </c>
      <c r="L31" t="s">
        <v>131</v>
      </c>
      <c r="M31" s="47"/>
      <c r="N31" s="47" t="s">
        <v>132</v>
      </c>
      <c r="O31" s="20"/>
      <c r="P31" s="47">
        <f>C19</f>
        <v>8</v>
      </c>
      <c r="Q31" s="20" t="s">
        <v>46</v>
      </c>
      <c r="R31" s="20"/>
      <c r="S31" s="20"/>
      <c r="U31" t="s">
        <v>133</v>
      </c>
      <c r="Y31" t="s">
        <v>147</v>
      </c>
      <c r="AD31" s="73">
        <f>R10</f>
        <v>43.68725214521966</v>
      </c>
      <c r="AE31" t="s">
        <v>65</v>
      </c>
      <c r="AG31" t="s">
        <v>159</v>
      </c>
    </row>
    <row r="32" spans="3:33" ht="12.75">
      <c r="C32" s="39"/>
      <c r="D32" s="19"/>
      <c r="E32" s="6"/>
      <c r="H32" s="39"/>
      <c r="I32" s="19"/>
      <c r="J32" s="6"/>
      <c r="L32" s="44" t="s">
        <v>80</v>
      </c>
      <c r="M32" s="20"/>
      <c r="N32" s="4" t="s">
        <v>57</v>
      </c>
      <c r="O32" s="19"/>
      <c r="P32" s="19"/>
      <c r="Q32" s="48" t="s">
        <v>66</v>
      </c>
      <c r="R32" s="48"/>
      <c r="S32" s="6" t="s">
        <v>58</v>
      </c>
      <c r="U32" s="44" t="s">
        <v>58</v>
      </c>
      <c r="Y32" s="39" t="s">
        <v>58</v>
      </c>
      <c r="Z32" s="6"/>
      <c r="AB32" s="39"/>
      <c r="AC32" s="19"/>
      <c r="AD32" s="19"/>
      <c r="AE32" s="6" t="s">
        <v>58</v>
      </c>
      <c r="AF32" s="20"/>
      <c r="AG32" s="44" t="s">
        <v>58</v>
      </c>
    </row>
    <row r="33" spans="2:33" ht="12.75">
      <c r="B33" s="1" t="s">
        <v>48</v>
      </c>
      <c r="C33" s="40" t="s">
        <v>49</v>
      </c>
      <c r="D33" s="21" t="s">
        <v>50</v>
      </c>
      <c r="E33" s="41" t="s">
        <v>52</v>
      </c>
      <c r="H33" s="40" t="s">
        <v>49</v>
      </c>
      <c r="I33" s="21" t="s">
        <v>50</v>
      </c>
      <c r="J33" s="41" t="s">
        <v>52</v>
      </c>
      <c r="L33" s="45" t="s">
        <v>81</v>
      </c>
      <c r="M33" s="20"/>
      <c r="N33" s="40" t="s">
        <v>63</v>
      </c>
      <c r="O33" s="21" t="s">
        <v>64</v>
      </c>
      <c r="P33" s="21" t="s">
        <v>62</v>
      </c>
      <c r="Q33" s="21" t="s">
        <v>68</v>
      </c>
      <c r="R33" s="21" t="s">
        <v>67</v>
      </c>
      <c r="S33" s="9" t="s">
        <v>59</v>
      </c>
      <c r="T33" s="1" t="s">
        <v>61</v>
      </c>
      <c r="U33" s="45" t="s">
        <v>59</v>
      </c>
      <c r="V33" s="1" t="s">
        <v>96</v>
      </c>
      <c r="W33" s="1" t="s">
        <v>97</v>
      </c>
      <c r="X33" s="1" t="s">
        <v>98</v>
      </c>
      <c r="Y33" s="69" t="s">
        <v>59</v>
      </c>
      <c r="Z33" s="41" t="s">
        <v>64</v>
      </c>
      <c r="AB33" s="40" t="s">
        <v>63</v>
      </c>
      <c r="AC33" s="21" t="s">
        <v>64</v>
      </c>
      <c r="AD33" s="21" t="s">
        <v>62</v>
      </c>
      <c r="AE33" s="9" t="s">
        <v>59</v>
      </c>
      <c r="AF33" s="20"/>
      <c r="AG33" s="45" t="s">
        <v>59</v>
      </c>
    </row>
    <row r="34" spans="2:33" ht="12.75">
      <c r="B34" s="21" t="s">
        <v>14</v>
      </c>
      <c r="C34" s="42" t="s">
        <v>12</v>
      </c>
      <c r="D34" s="30" t="s">
        <v>51</v>
      </c>
      <c r="E34" s="43" t="s">
        <v>12</v>
      </c>
      <c r="H34" s="42" t="s">
        <v>12</v>
      </c>
      <c r="I34" s="30" t="s">
        <v>51</v>
      </c>
      <c r="J34" s="43" t="s">
        <v>12</v>
      </c>
      <c r="L34" s="46" t="s">
        <v>53</v>
      </c>
      <c r="M34" s="21"/>
      <c r="N34" s="42" t="s">
        <v>65</v>
      </c>
      <c r="O34" s="30" t="s">
        <v>55</v>
      </c>
      <c r="P34" s="30" t="s">
        <v>54</v>
      </c>
      <c r="Q34" s="30" t="s">
        <v>56</v>
      </c>
      <c r="R34" s="30" t="s">
        <v>56</v>
      </c>
      <c r="S34" s="43" t="s">
        <v>60</v>
      </c>
      <c r="T34" s="21" t="s">
        <v>14</v>
      </c>
      <c r="U34" s="46" t="s">
        <v>60</v>
      </c>
      <c r="V34" s="1" t="s">
        <v>60</v>
      </c>
      <c r="W34" s="1" t="s">
        <v>60</v>
      </c>
      <c r="X34" s="1" t="s">
        <v>60</v>
      </c>
      <c r="Y34" s="42" t="s">
        <v>60</v>
      </c>
      <c r="Z34" s="43" t="s">
        <v>55</v>
      </c>
      <c r="AB34" s="42" t="s">
        <v>65</v>
      </c>
      <c r="AC34" s="30" t="s">
        <v>55</v>
      </c>
      <c r="AD34" s="30" t="s">
        <v>54</v>
      </c>
      <c r="AE34" s="43" t="s">
        <v>60</v>
      </c>
      <c r="AF34" s="21"/>
      <c r="AG34" s="46" t="s">
        <v>60</v>
      </c>
    </row>
    <row r="35" spans="2:33" ht="12.75">
      <c r="B35" s="74">
        <v>10</v>
      </c>
      <c r="C35" s="3">
        <f>$C$7+$E$14/(1+($E$11*(B35/$C$9-$C$9/B35))^2)</f>
        <v>5.818576529889272</v>
      </c>
      <c r="D35" s="3">
        <f>(2*PI()*B35*$C$8/1000)-($E$14*$E$11*(B35/$C$9-$C$9/B35))/((1+($E$11*(B35/$C$9-$C$9/B35))^2))</f>
        <v>3.4149777476217507</v>
      </c>
      <c r="E35" s="3">
        <f>SQRT(C35^2+D35^2)</f>
        <v>6.74669592103646</v>
      </c>
      <c r="H35" s="3">
        <f aca="true" t="shared" si="0" ref="H35:H62">$C$7+$N$10/(1+($I$18*(B35/$I$17-$I$17/B35))^2)</f>
        <v>5.605586581365223</v>
      </c>
      <c r="I35" s="3">
        <f aca="true" t="shared" si="1" ref="I35:I62">(2*PI()*B35*$C$8/1000)-($N$10*$I$18*(B35/$I$17-$I$17/B35))/((1+($I$18*(B35/$I$17-$I$17/B35))^2))</f>
        <v>0.6974059149623797</v>
      </c>
      <c r="J35" s="3">
        <f>SQRT(H35^2+I35^2)</f>
        <v>5.648803052984443</v>
      </c>
      <c r="L35" s="28">
        <f aca="true" t="shared" si="2" ref="L35:L62">(1000/(2*PI()*B35*$C$10))/SQRT((1+$I$19/$I$18)^2+($I$19^2)*(B35/$I$17-$I$17/B35)^2)</f>
        <v>0.13590134467057866</v>
      </c>
      <c r="M35" s="28"/>
      <c r="N35" s="3">
        <f aca="true" t="shared" si="3" ref="N35:N62">$P$31/L35</f>
        <v>58.8662313782972</v>
      </c>
      <c r="O35" s="3">
        <f>N35/J35</f>
        <v>10.421009694646072</v>
      </c>
      <c r="P35" s="29">
        <f>N35*O35/2</f>
        <v>306.722783940257</v>
      </c>
      <c r="Q35" s="29">
        <f>4*O35^2</f>
        <v>434.3897722236297</v>
      </c>
      <c r="R35" s="29">
        <f>(N35^2)/16</f>
        <v>216.57707479270138</v>
      </c>
      <c r="S35" s="29">
        <f>-37.6+20*LOG($P$31*$C$18)+40*LOG(B35)</f>
        <v>70.96269588057578</v>
      </c>
      <c r="T35" s="76">
        <f>B35</f>
        <v>10</v>
      </c>
      <c r="U35" s="29">
        <f>-37.6+20*LOG(2.83*1.41*L35*$C$18)+40*LOG(B35)</f>
        <v>47.585482181603176</v>
      </c>
      <c r="V35" s="29">
        <f aca="true" t="shared" si="4" ref="V35:V62">$N$17+40*LOG(T35/$N$13)-10*LOG((((T35^2/$N$13^2)-1)^2)+(T35/($N$13*$N$14))^2)</f>
        <v>71.02059991327963</v>
      </c>
      <c r="W35" s="29">
        <f>V35-U35</f>
        <v>23.43511773167645</v>
      </c>
      <c r="X35" s="1">
        <f aca="true" t="shared" si="5" ref="X35:X62">$N$17</f>
        <v>85</v>
      </c>
      <c r="Y35" s="29">
        <f>U35+7.95</f>
        <v>55.53548218160318</v>
      </c>
      <c r="Z35" s="3">
        <f>10/J35</f>
        <v>1.7702865379094217</v>
      </c>
      <c r="AB35" s="3">
        <f>IF(N35&lt;$AD$31,N35,$AD$31)</f>
        <v>43.68725214521966</v>
      </c>
      <c r="AC35" s="3">
        <f>IF(AB35/J35&lt;$R$8,AB35/J35,$R$8)</f>
        <v>6</v>
      </c>
      <c r="AD35" s="29">
        <f>AB35*AC35/2</f>
        <v>131.061756435659</v>
      </c>
      <c r="AE35" s="29">
        <f>S35+20*LOG(AC35/O35)</f>
        <v>66.16752488984403</v>
      </c>
      <c r="AG35" s="29">
        <f aca="true" t="shared" si="6" ref="AG35:AG62">AE35+20*LOG(T35/$R$16)</f>
        <v>42.89386388798239</v>
      </c>
    </row>
    <row r="36" spans="2:33" ht="12.75">
      <c r="B36" s="75">
        <f>B35*2^(1/7)</f>
        <v>11.040895136738122</v>
      </c>
      <c r="C36" s="3">
        <f aca="true" t="shared" si="7" ref="C36:C62">$C$7+$E$14/(1+($E$11*(B36/$C$9-$C$9/B36))^2)</f>
        <v>5.878052210685255</v>
      </c>
      <c r="D36" s="3">
        <f aca="true" t="shared" si="8" ref="D36:D62">(2*PI()*B36*$C$8/1000)-($E$14*$E$11*(B36/$C$9-$C$9/B36))/((1+($E$11*(B36/$C$9-$C$9/B36))^2))</f>
        <v>3.844453640559998</v>
      </c>
      <c r="E36" s="3">
        <f aca="true" t="shared" si="9" ref="E36:E62">SQRT(C36^2+D36^2)</f>
        <v>7.023625957150398</v>
      </c>
      <c r="H36" s="3">
        <f t="shared" si="0"/>
        <v>5.606855261175866</v>
      </c>
      <c r="I36" s="3">
        <f t="shared" si="1"/>
        <v>0.7717808826464351</v>
      </c>
      <c r="J36" s="3">
        <f aca="true" t="shared" si="10" ref="J36:J62">SQRT(H36^2+I36^2)</f>
        <v>5.659723637298379</v>
      </c>
      <c r="L36" s="28">
        <f t="shared" si="2"/>
        <v>0.13620322381173353</v>
      </c>
      <c r="M36" s="28"/>
      <c r="N36" s="3">
        <f t="shared" si="3"/>
        <v>58.73576099092907</v>
      </c>
      <c r="O36" s="3">
        <f aca="true" t="shared" si="11" ref="O36:O62">N36/J36</f>
        <v>10.37784965397464</v>
      </c>
      <c r="P36" s="29">
        <f aca="true" t="shared" si="12" ref="P36:P62">N36*O36/2</f>
        <v>304.7754484378252</v>
      </c>
      <c r="Q36" s="29">
        <f aca="true" t="shared" si="13" ref="Q36:Q62">4*O36^2</f>
        <v>430.79905376200617</v>
      </c>
      <c r="R36" s="29">
        <f aca="true" t="shared" si="14" ref="R36:R62">(N36^2)/16</f>
        <v>215.6181011989716</v>
      </c>
      <c r="S36" s="29">
        <f aca="true" t="shared" si="15" ref="S36:S62">-37.6+20*LOG($P$31*$C$18)+40*LOG(B36)</f>
        <v>72.68286728436995</v>
      </c>
      <c r="T36" s="76">
        <f aca="true" t="shared" si="16" ref="T36:T62">B36</f>
        <v>11.040895136738122</v>
      </c>
      <c r="U36" s="29">
        <f aca="true" t="shared" si="17" ref="U36:U62">-37.6+20*LOG(2.83*1.41*L36*$C$18)+40*LOG(B36)</f>
        <v>49.32492624953897</v>
      </c>
      <c r="V36" s="29">
        <f t="shared" si="4"/>
        <v>72.36840274226304</v>
      </c>
      <c r="W36" s="29">
        <f aca="true" t="shared" si="18" ref="W36:W62">V36-U36</f>
        <v>23.043476492724075</v>
      </c>
      <c r="X36" s="1">
        <f t="shared" si="5"/>
        <v>85</v>
      </c>
      <c r="Y36" s="29">
        <f aca="true" t="shared" si="19" ref="Y36:Y62">U36+7.95</f>
        <v>57.27492624953897</v>
      </c>
      <c r="Z36" s="3">
        <f aca="true" t="shared" si="20" ref="Z36:Z62">10/J36</f>
        <v>1.7668707238810366</v>
      </c>
      <c r="AB36" s="3">
        <f aca="true" t="shared" si="21" ref="AB36:AB62">IF(N36&lt;$AD$31,N36,$AD$31)</f>
        <v>43.68725214521966</v>
      </c>
      <c r="AC36" s="3">
        <f aca="true" t="shared" si="22" ref="AC36:AC62">IF(AB36/J36&lt;$R$8,AB36/J36,$R$8)</f>
        <v>6</v>
      </c>
      <c r="AD36" s="29">
        <f aca="true" t="shared" si="23" ref="AD36:AD62">AB36*AC36/2</f>
        <v>131.061756435659</v>
      </c>
      <c r="AE36" s="29">
        <f aca="true" t="shared" si="24" ref="AE36:AE62">S36+20*LOG(AC36/O36)</f>
        <v>67.92374479820856</v>
      </c>
      <c r="AG36" s="29">
        <f t="shared" si="6"/>
        <v>45.510169498244004</v>
      </c>
    </row>
    <row r="37" spans="2:33" ht="12.75">
      <c r="B37" s="75">
        <f aca="true" t="shared" si="25" ref="B37:B62">B36*2^(1/7)</f>
        <v>12.190136542044751</v>
      </c>
      <c r="C37" s="3">
        <f t="shared" si="7"/>
        <v>5.95745368868944</v>
      </c>
      <c r="D37" s="3">
        <f t="shared" si="8"/>
        <v>4.34867361017465</v>
      </c>
      <c r="E37" s="3">
        <f t="shared" si="9"/>
        <v>7.375785830723994</v>
      </c>
      <c r="H37" s="3">
        <f t="shared" si="0"/>
        <v>5.608424479040627</v>
      </c>
      <c r="I37" s="3">
        <f t="shared" si="1"/>
        <v>0.8545314577102713</v>
      </c>
      <c r="J37" s="3">
        <f t="shared" si="10"/>
        <v>5.6731516064105465</v>
      </c>
      <c r="L37" s="28">
        <f t="shared" si="2"/>
        <v>0.13657192654354092</v>
      </c>
      <c r="M37" s="28"/>
      <c r="N37" s="3">
        <f t="shared" si="3"/>
        <v>58.57719227127909</v>
      </c>
      <c r="O37" s="3">
        <f t="shared" si="11"/>
        <v>10.325335251941452</v>
      </c>
      <c r="P37" s="29">
        <f t="shared" si="12"/>
        <v>302.4145741591952</v>
      </c>
      <c r="Q37" s="29">
        <f t="shared" si="13"/>
        <v>426.45019225993934</v>
      </c>
      <c r="R37" s="29">
        <f t="shared" si="14"/>
        <v>214.4554658991499</v>
      </c>
      <c r="S37" s="29">
        <f t="shared" si="15"/>
        <v>74.40303868816412</v>
      </c>
      <c r="T37" s="76">
        <f t="shared" si="16"/>
        <v>12.190136542044751</v>
      </c>
      <c r="U37" s="29">
        <f t="shared" si="17"/>
        <v>51.06857862793007</v>
      </c>
      <c r="V37" s="29">
        <f t="shared" si="4"/>
        <v>73.65523578413429</v>
      </c>
      <c r="W37" s="29">
        <f t="shared" si="18"/>
        <v>22.586657156204218</v>
      </c>
      <c r="X37" s="1">
        <f t="shared" si="5"/>
        <v>85</v>
      </c>
      <c r="Y37" s="29">
        <f t="shared" si="19"/>
        <v>59.018578627930076</v>
      </c>
      <c r="Z37" s="3">
        <f t="shared" si="20"/>
        <v>1.7626886594569766</v>
      </c>
      <c r="AB37" s="3">
        <f t="shared" si="21"/>
        <v>43.68725214521966</v>
      </c>
      <c r="AC37" s="3">
        <f t="shared" si="22"/>
        <v>6</v>
      </c>
      <c r="AD37" s="29">
        <f t="shared" si="23"/>
        <v>131.061756435659</v>
      </c>
      <c r="AE37" s="29">
        <f t="shared" si="24"/>
        <v>69.68798046369051</v>
      </c>
      <c r="AG37" s="29">
        <f t="shared" si="6"/>
        <v>48.13449086562304</v>
      </c>
    </row>
    <row r="38" spans="2:33" ht="12.75">
      <c r="B38" s="75">
        <f t="shared" si="25"/>
        <v>13.459001926323557</v>
      </c>
      <c r="C38" s="3">
        <f t="shared" si="7"/>
        <v>6.0657712971847735</v>
      </c>
      <c r="D38" s="3">
        <f t="shared" si="8"/>
        <v>4.949162742786043</v>
      </c>
      <c r="E38" s="3">
        <f t="shared" si="9"/>
        <v>7.8286520732711145</v>
      </c>
      <c r="H38" s="3">
        <f t="shared" si="0"/>
        <v>5.610371702508691</v>
      </c>
      <c r="I38" s="3">
        <f t="shared" si="1"/>
        <v>0.9467602610650033</v>
      </c>
      <c r="J38" s="3">
        <f t="shared" si="10"/>
        <v>5.6896946870849</v>
      </c>
      <c r="L38" s="28">
        <f t="shared" si="2"/>
        <v>0.13702241357468015</v>
      </c>
      <c r="M38" s="28"/>
      <c r="N38" s="3">
        <f t="shared" si="3"/>
        <v>58.384608702282335</v>
      </c>
      <c r="O38" s="3">
        <f t="shared" si="11"/>
        <v>10.261466021157549</v>
      </c>
      <c r="P38" s="29">
        <f t="shared" si="12"/>
        <v>299.55583917852476</v>
      </c>
      <c r="Q38" s="29">
        <f t="shared" si="13"/>
        <v>421.19073961348374</v>
      </c>
      <c r="R38" s="29">
        <f t="shared" si="14"/>
        <v>213.04765833241387</v>
      </c>
      <c r="S38" s="29">
        <f t="shared" si="15"/>
        <v>76.1232100919583</v>
      </c>
      <c r="T38" s="76">
        <f t="shared" si="16"/>
        <v>13.459001926323557</v>
      </c>
      <c r="U38" s="29">
        <f t="shared" si="17"/>
        <v>52.81735357791078</v>
      </c>
      <c r="V38" s="29">
        <f t="shared" si="4"/>
        <v>74.8748280919235</v>
      </c>
      <c r="W38" s="29">
        <f t="shared" si="18"/>
        <v>22.057474514012725</v>
      </c>
      <c r="X38" s="1">
        <f t="shared" si="5"/>
        <v>85</v>
      </c>
      <c r="Y38" s="29">
        <f t="shared" si="19"/>
        <v>60.76735357791078</v>
      </c>
      <c r="Z38" s="3">
        <f t="shared" si="20"/>
        <v>1.7575635512919716</v>
      </c>
      <c r="AB38" s="3">
        <f t="shared" si="21"/>
        <v>43.68725214521966</v>
      </c>
      <c r="AC38" s="3">
        <f t="shared" si="22"/>
        <v>6</v>
      </c>
      <c r="AD38" s="29">
        <f t="shared" si="23"/>
        <v>131.061756435659</v>
      </c>
      <c r="AE38" s="29">
        <f t="shared" si="24"/>
        <v>71.46204687160763</v>
      </c>
      <c r="AG38" s="29">
        <f t="shared" si="6"/>
        <v>50.768642975437245</v>
      </c>
    </row>
    <row r="39" spans="2:33" ht="12.75">
      <c r="B39" s="75">
        <f t="shared" si="25"/>
        <v>14.859942891369478</v>
      </c>
      <c r="C39" s="3">
        <f t="shared" si="7"/>
        <v>6.217634497392229</v>
      </c>
      <c r="D39" s="3">
        <f t="shared" si="8"/>
        <v>5.677194071273585</v>
      </c>
      <c r="E39" s="3">
        <f t="shared" si="9"/>
        <v>8.419590920351526</v>
      </c>
      <c r="H39" s="3">
        <f t="shared" si="0"/>
        <v>5.612797558848092</v>
      </c>
      <c r="I39" s="3">
        <f t="shared" si="1"/>
        <v>1.0497722625959582</v>
      </c>
      <c r="J39" s="3">
        <f t="shared" si="10"/>
        <v>5.7101241877849676</v>
      </c>
      <c r="L39" s="28">
        <f t="shared" si="2"/>
        <v>0.13757306420991489</v>
      </c>
      <c r="M39" s="28"/>
      <c r="N39" s="3">
        <f t="shared" si="3"/>
        <v>58.150918175328684</v>
      </c>
      <c r="O39" s="3">
        <f t="shared" si="11"/>
        <v>10.183827227387535</v>
      </c>
      <c r="P39" s="29">
        <f t="shared" si="12"/>
        <v>296.0994519057485</v>
      </c>
      <c r="Q39" s="29">
        <f t="shared" si="13"/>
        <v>414.8413479891188</v>
      </c>
      <c r="R39" s="29">
        <f t="shared" si="14"/>
        <v>211.34558028961075</v>
      </c>
      <c r="S39" s="29">
        <f t="shared" si="15"/>
        <v>77.84338149575248</v>
      </c>
      <c r="T39" s="76">
        <f t="shared" si="16"/>
        <v>14.859942891369478</v>
      </c>
      <c r="U39" s="29">
        <f t="shared" si="17"/>
        <v>54.57236093090932</v>
      </c>
      <c r="V39" s="29">
        <f t="shared" si="4"/>
        <v>76.0214009686402</v>
      </c>
      <c r="W39" s="29">
        <f t="shared" si="18"/>
        <v>21.449040037730875</v>
      </c>
      <c r="X39" s="1">
        <f t="shared" si="5"/>
        <v>85</v>
      </c>
      <c r="Y39" s="29">
        <f t="shared" si="19"/>
        <v>62.52236093090932</v>
      </c>
      <c r="Z39" s="3">
        <f t="shared" si="20"/>
        <v>1.7512753963200811</v>
      </c>
      <c r="AB39" s="3">
        <f t="shared" si="21"/>
        <v>43.68725214521966</v>
      </c>
      <c r="AC39" s="3">
        <f t="shared" si="22"/>
        <v>6</v>
      </c>
      <c r="AD39" s="29">
        <f t="shared" si="23"/>
        <v>131.061756435659</v>
      </c>
      <c r="AE39" s="29">
        <f t="shared" si="24"/>
        <v>73.2481860487787</v>
      </c>
      <c r="AG39" s="29">
        <f t="shared" si="6"/>
        <v>53.41486785450542</v>
      </c>
    </row>
    <row r="40" spans="2:33" ht="12.75">
      <c r="B40" s="75">
        <f t="shared" si="25"/>
        <v>16.40670712015275</v>
      </c>
      <c r="C40" s="3">
        <f t="shared" si="7"/>
        <v>6.438148952981315</v>
      </c>
      <c r="D40" s="3">
        <f t="shared" si="8"/>
        <v>6.579923215067187</v>
      </c>
      <c r="E40" s="3">
        <f t="shared" si="9"/>
        <v>9.205712979283817</v>
      </c>
      <c r="H40" s="3">
        <f t="shared" si="0"/>
        <v>5.6158343857295066</v>
      </c>
      <c r="I40" s="3">
        <f t="shared" si="1"/>
        <v>1.165131473240435</v>
      </c>
      <c r="J40" s="3">
        <f t="shared" si="10"/>
        <v>5.7354273770903355</v>
      </c>
      <c r="L40" s="28">
        <f t="shared" si="2"/>
        <v>0.13824647965555328</v>
      </c>
      <c r="M40" s="28"/>
      <c r="N40" s="3">
        <f t="shared" si="3"/>
        <v>57.867657968089496</v>
      </c>
      <c r="O40" s="3">
        <f t="shared" si="11"/>
        <v>10.089511062285752</v>
      </c>
      <c r="P40" s="29">
        <f t="shared" si="12"/>
        <v>291.92818760880357</v>
      </c>
      <c r="Q40" s="29">
        <f t="shared" si="13"/>
        <v>407.1929339039462</v>
      </c>
      <c r="R40" s="29">
        <f t="shared" si="14"/>
        <v>209.291614919487</v>
      </c>
      <c r="S40" s="29">
        <f t="shared" si="15"/>
        <v>79.56355289954665</v>
      </c>
      <c r="T40" s="76">
        <f t="shared" si="16"/>
        <v>16.40670712015275</v>
      </c>
      <c r="U40" s="29">
        <f t="shared" si="17"/>
        <v>56.33494574589078</v>
      </c>
      <c r="V40" s="29">
        <f t="shared" si="4"/>
        <v>77.0899974672194</v>
      </c>
      <c r="W40" s="29">
        <f t="shared" si="18"/>
        <v>20.755051721328627</v>
      </c>
      <c r="X40" s="1">
        <f t="shared" si="5"/>
        <v>85</v>
      </c>
      <c r="Y40" s="29">
        <f t="shared" si="19"/>
        <v>64.28494574589078</v>
      </c>
      <c r="Z40" s="3">
        <f t="shared" si="20"/>
        <v>1.7435492322584587</v>
      </c>
      <c r="AB40" s="3">
        <f t="shared" si="21"/>
        <v>43.68725214521966</v>
      </c>
      <c r="AC40" s="3">
        <f t="shared" si="22"/>
        <v>6</v>
      </c>
      <c r="AD40" s="29">
        <f t="shared" si="23"/>
        <v>131.061756435659</v>
      </c>
      <c r="AE40" s="29">
        <f t="shared" si="24"/>
        <v>75.04917549050168</v>
      </c>
      <c r="AG40" s="29">
        <f t="shared" si="6"/>
        <v>56.075942998125484</v>
      </c>
    </row>
    <row r="41" spans="2:33" ht="12.75">
      <c r="B41" s="75">
        <f t="shared" si="25"/>
        <v>18.11447328527812</v>
      </c>
      <c r="C41" s="3">
        <f t="shared" si="7"/>
        <v>6.773310733734664</v>
      </c>
      <c r="D41" s="3">
        <f t="shared" si="8"/>
        <v>7.731563295242499</v>
      </c>
      <c r="E41" s="3">
        <f t="shared" si="9"/>
        <v>10.27885252759598</v>
      </c>
      <c r="H41" s="3">
        <f t="shared" si="0"/>
        <v>5.619658771788316</v>
      </c>
      <c r="I41" s="3">
        <f t="shared" si="1"/>
        <v>1.2947396866743084</v>
      </c>
      <c r="J41" s="3">
        <f t="shared" si="10"/>
        <v>5.766880921918438</v>
      </c>
      <c r="L41" s="28">
        <f t="shared" si="2"/>
        <v>0.13907047542902345</v>
      </c>
      <c r="M41" s="28"/>
      <c r="N41" s="3">
        <f t="shared" si="3"/>
        <v>57.524790760371786</v>
      </c>
      <c r="O41" s="3">
        <f t="shared" si="11"/>
        <v>9.975026628646827</v>
      </c>
      <c r="P41" s="29">
        <f t="shared" si="12"/>
        <v>286.90565982102277</v>
      </c>
      <c r="Q41" s="29">
        <f t="shared" si="13"/>
        <v>398.00462496885314</v>
      </c>
      <c r="R41" s="29">
        <f t="shared" si="14"/>
        <v>206.8188470015347</v>
      </c>
      <c r="S41" s="29">
        <f t="shared" si="15"/>
        <v>81.28372430334082</v>
      </c>
      <c r="T41" s="76">
        <f t="shared" si="16"/>
        <v>18.11447328527812</v>
      </c>
      <c r="U41" s="29">
        <f t="shared" si="17"/>
        <v>58.106734313960224</v>
      </c>
      <c r="V41" s="29">
        <f t="shared" si="4"/>
        <v>78.07680050851516</v>
      </c>
      <c r="W41" s="29">
        <f t="shared" si="18"/>
        <v>19.97006619455494</v>
      </c>
      <c r="X41" s="1">
        <f t="shared" si="5"/>
        <v>85</v>
      </c>
      <c r="Y41" s="29">
        <f t="shared" si="19"/>
        <v>66.05673431396022</v>
      </c>
      <c r="Z41" s="3">
        <f t="shared" si="20"/>
        <v>1.734039619578854</v>
      </c>
      <c r="AB41" s="3">
        <f t="shared" si="21"/>
        <v>43.68725214521966</v>
      </c>
      <c r="AC41" s="3">
        <f t="shared" si="22"/>
        <v>6</v>
      </c>
      <c r="AD41" s="29">
        <f t="shared" si="23"/>
        <v>131.061756435659</v>
      </c>
      <c r="AE41" s="29">
        <f t="shared" si="24"/>
        <v>76.86846803655187</v>
      </c>
      <c r="AG41" s="29">
        <f t="shared" si="6"/>
        <v>58.75532124607276</v>
      </c>
    </row>
    <row r="42" spans="2:33" ht="12.75">
      <c r="B42" s="75">
        <f t="shared" si="25"/>
        <v>19.999999999999982</v>
      </c>
      <c r="C42" s="3">
        <f t="shared" si="7"/>
        <v>7.314615470746316</v>
      </c>
      <c r="D42" s="3">
        <f t="shared" si="8"/>
        <v>9.254702568523596</v>
      </c>
      <c r="E42" s="3">
        <f t="shared" si="9"/>
        <v>11.796318032196258</v>
      </c>
      <c r="H42" s="3">
        <f t="shared" si="0"/>
        <v>5.624510398907098</v>
      </c>
      <c r="I42" s="3">
        <f t="shared" si="1"/>
        <v>1.4409480508971182</v>
      </c>
      <c r="J42" s="3">
        <f t="shared" si="10"/>
        <v>5.806156087533153</v>
      </c>
      <c r="L42" s="28">
        <f t="shared" si="2"/>
        <v>0.14007929772512434</v>
      </c>
      <c r="M42" s="28"/>
      <c r="N42" s="3">
        <f t="shared" si="3"/>
        <v>57.11050904679926</v>
      </c>
      <c r="O42" s="3">
        <f t="shared" si="11"/>
        <v>9.836199403840633</v>
      </c>
      <c r="P42" s="29">
        <f t="shared" si="12"/>
        <v>280.875177519581</v>
      </c>
      <c r="Q42" s="29">
        <f t="shared" si="13"/>
        <v>387.0032748484593</v>
      </c>
      <c r="R42" s="29">
        <f t="shared" si="14"/>
        <v>203.85064022403375</v>
      </c>
      <c r="S42" s="29">
        <f t="shared" si="15"/>
        <v>83.003895707135</v>
      </c>
      <c r="T42" s="76">
        <f t="shared" si="16"/>
        <v>19.999999999999982</v>
      </c>
      <c r="U42" s="29">
        <f t="shared" si="17"/>
        <v>59.88968604658526</v>
      </c>
      <c r="V42" s="29">
        <f t="shared" si="4"/>
        <v>78.97940008672037</v>
      </c>
      <c r="W42" s="29">
        <f t="shared" si="18"/>
        <v>19.089714040135114</v>
      </c>
      <c r="X42" s="1">
        <f t="shared" si="5"/>
        <v>85</v>
      </c>
      <c r="Y42" s="29">
        <f t="shared" si="19"/>
        <v>67.83968604658526</v>
      </c>
      <c r="Z42" s="3">
        <f t="shared" si="20"/>
        <v>1.722309880967853</v>
      </c>
      <c r="AB42" s="3">
        <f t="shared" si="21"/>
        <v>43.68725214521966</v>
      </c>
      <c r="AC42" s="3">
        <f t="shared" si="22"/>
        <v>6</v>
      </c>
      <c r="AD42" s="29">
        <f t="shared" si="23"/>
        <v>131.061756435659</v>
      </c>
      <c r="AE42" s="29">
        <f t="shared" si="24"/>
        <v>78.71037422744368</v>
      </c>
      <c r="AG42" s="29">
        <f t="shared" si="6"/>
        <v>61.45731313886165</v>
      </c>
    </row>
    <row r="43" spans="2:33" ht="12.75">
      <c r="B43" s="75">
        <f t="shared" si="25"/>
        <v>22.081790273476226</v>
      </c>
      <c r="C43" s="3">
        <f t="shared" si="7"/>
        <v>8.264437069912303</v>
      </c>
      <c r="D43" s="3">
        <f t="shared" si="8"/>
        <v>11.36218575842274</v>
      </c>
      <c r="E43" s="3">
        <f t="shared" si="9"/>
        <v>14.0499176257886</v>
      </c>
      <c r="H43" s="3">
        <f t="shared" si="0"/>
        <v>5.630721123744311</v>
      </c>
      <c r="I43" s="3">
        <f t="shared" si="1"/>
        <v>1.6067186843226786</v>
      </c>
      <c r="J43" s="3">
        <f t="shared" si="10"/>
        <v>5.85547310675508</v>
      </c>
      <c r="L43" s="28">
        <f t="shared" si="2"/>
        <v>0.14131508974274237</v>
      </c>
      <c r="M43" s="28"/>
      <c r="N43" s="3">
        <f t="shared" si="3"/>
        <v>56.6110810569744</v>
      </c>
      <c r="O43" s="3">
        <f t="shared" si="11"/>
        <v>9.6680626867991</v>
      </c>
      <c r="P43" s="29">
        <f t="shared" si="12"/>
        <v>273.6597402131468</v>
      </c>
      <c r="Q43" s="29">
        <f t="shared" si="13"/>
        <v>373.88574446350816</v>
      </c>
      <c r="R43" s="29">
        <f t="shared" si="14"/>
        <v>200.30090615245786</v>
      </c>
      <c r="S43" s="29">
        <f t="shared" si="15"/>
        <v>84.72406711092918</v>
      </c>
      <c r="T43" s="76">
        <f t="shared" si="16"/>
        <v>22.081790273476226</v>
      </c>
      <c r="U43" s="29">
        <f t="shared" si="17"/>
        <v>61.68614910769248</v>
      </c>
      <c r="V43" s="29">
        <f t="shared" si="4"/>
        <v>79.79697191230936</v>
      </c>
      <c r="W43" s="29">
        <f t="shared" si="18"/>
        <v>18.11082280461688</v>
      </c>
      <c r="X43" s="1">
        <f t="shared" si="5"/>
        <v>85</v>
      </c>
      <c r="Y43" s="29">
        <f t="shared" si="19"/>
        <v>69.63614910769248</v>
      </c>
      <c r="Z43" s="3">
        <f t="shared" si="20"/>
        <v>1.7078039327793424</v>
      </c>
      <c r="AB43" s="3">
        <f t="shared" si="21"/>
        <v>43.68725214521966</v>
      </c>
      <c r="AC43" s="3">
        <f t="shared" si="22"/>
        <v>6</v>
      </c>
      <c r="AD43" s="29">
        <f t="shared" si="23"/>
        <v>131.061756435659</v>
      </c>
      <c r="AE43" s="29">
        <f t="shared" si="24"/>
        <v>80.58030296522477</v>
      </c>
      <c r="AG43" s="29">
        <f t="shared" si="6"/>
        <v>64.18732757853984</v>
      </c>
    </row>
    <row r="44" spans="2:33" ht="12.75">
      <c r="B44" s="75">
        <f t="shared" si="25"/>
        <v>24.380273084089485</v>
      </c>
      <c r="C44" s="3">
        <f t="shared" si="7"/>
        <v>10.137490119988692</v>
      </c>
      <c r="D44" s="3">
        <f t="shared" si="8"/>
        <v>14.43365780294518</v>
      </c>
      <c r="E44" s="3">
        <f t="shared" si="9"/>
        <v>17.638003954682304</v>
      </c>
      <c r="H44" s="3">
        <f t="shared" si="0"/>
        <v>5.638761234977562</v>
      </c>
      <c r="I44" s="3">
        <f t="shared" si="1"/>
        <v>1.7958646520788315</v>
      </c>
      <c r="J44" s="3">
        <f t="shared" si="10"/>
        <v>5.917833903859749</v>
      </c>
      <c r="L44" s="28">
        <f t="shared" si="2"/>
        <v>0.14282960070401854</v>
      </c>
      <c r="M44" s="28"/>
      <c r="N44" s="3">
        <f t="shared" si="3"/>
        <v>56.01079860594274</v>
      </c>
      <c r="O44" s="3">
        <f t="shared" si="11"/>
        <v>9.464746648163139</v>
      </c>
      <c r="P44" s="29">
        <f t="shared" si="12"/>
        <v>265.0640091832686</v>
      </c>
      <c r="Q44" s="29">
        <f t="shared" si="13"/>
        <v>358.3257164556615</v>
      </c>
      <c r="R44" s="29">
        <f t="shared" si="14"/>
        <v>196.07559752971733</v>
      </c>
      <c r="S44" s="29">
        <f t="shared" si="15"/>
        <v>86.44423851472337</v>
      </c>
      <c r="T44" s="76">
        <f t="shared" si="16"/>
        <v>24.380273084089485</v>
      </c>
      <c r="U44" s="29">
        <f t="shared" si="17"/>
        <v>63.498914180027974</v>
      </c>
      <c r="V44" s="29">
        <f t="shared" si="4"/>
        <v>80.53034027480776</v>
      </c>
      <c r="W44" s="29">
        <f t="shared" si="18"/>
        <v>17.031426094779782</v>
      </c>
      <c r="X44" s="1">
        <f t="shared" si="5"/>
        <v>85</v>
      </c>
      <c r="Y44" s="29">
        <f t="shared" si="19"/>
        <v>71.44891418002797</v>
      </c>
      <c r="Z44" s="3">
        <f t="shared" si="20"/>
        <v>1.6898074806522987</v>
      </c>
      <c r="AB44" s="3">
        <f t="shared" si="21"/>
        <v>43.68725214521966</v>
      </c>
      <c r="AC44" s="3">
        <f t="shared" si="22"/>
        <v>6</v>
      </c>
      <c r="AD44" s="29">
        <f t="shared" si="23"/>
        <v>131.061756435659</v>
      </c>
      <c r="AE44" s="29">
        <f t="shared" si="24"/>
        <v>82.48508365672184</v>
      </c>
      <c r="AG44" s="29">
        <f t="shared" si="6"/>
        <v>66.952193971934</v>
      </c>
    </row>
    <row r="45" spans="2:33" ht="12.75">
      <c r="B45" s="75">
        <f t="shared" si="25"/>
        <v>26.918003852647093</v>
      </c>
      <c r="C45" s="3">
        <f t="shared" si="7"/>
        <v>14.501393342833953</v>
      </c>
      <c r="D45" s="3">
        <f t="shared" si="8"/>
        <v>19.043806652934947</v>
      </c>
      <c r="E45" s="3">
        <f t="shared" si="9"/>
        <v>23.936519812160626</v>
      </c>
      <c r="H45" s="3">
        <f t="shared" si="0"/>
        <v>5.649315585711513</v>
      </c>
      <c r="I45" s="3">
        <f t="shared" si="1"/>
        <v>2.013416478811583</v>
      </c>
      <c r="J45" s="3">
        <f t="shared" si="10"/>
        <v>5.997383804969718</v>
      </c>
      <c r="L45" s="28">
        <f t="shared" si="2"/>
        <v>0.1446860395916275</v>
      </c>
      <c r="M45" s="28"/>
      <c r="N45" s="3">
        <f t="shared" si="3"/>
        <v>55.29213476697397</v>
      </c>
      <c r="O45" s="3">
        <f t="shared" si="11"/>
        <v>9.219375741995414</v>
      </c>
      <c r="P45" s="29">
        <f t="shared" si="12"/>
        <v>254.87948299689054</v>
      </c>
      <c r="Q45" s="29">
        <f t="shared" si="13"/>
        <v>339.987556288374</v>
      </c>
      <c r="R45" s="29">
        <f t="shared" si="14"/>
        <v>191.07626044307574</v>
      </c>
      <c r="S45" s="29">
        <f t="shared" si="15"/>
        <v>88.16440991851753</v>
      </c>
      <c r="T45" s="76">
        <f t="shared" si="16"/>
        <v>26.918003852647093</v>
      </c>
      <c r="U45" s="29">
        <f t="shared" si="17"/>
        <v>65.33125372445785</v>
      </c>
      <c r="V45" s="29">
        <f t="shared" si="4"/>
        <v>81.18191518002274</v>
      </c>
      <c r="W45" s="29">
        <f t="shared" si="18"/>
        <v>15.85066145556489</v>
      </c>
      <c r="X45" s="1">
        <f t="shared" si="5"/>
        <v>85</v>
      </c>
      <c r="Y45" s="29">
        <f t="shared" si="19"/>
        <v>73.28125372445786</v>
      </c>
      <c r="Z45" s="3">
        <f t="shared" si="20"/>
        <v>1.6673937045205485</v>
      </c>
      <c r="AB45" s="3">
        <f t="shared" si="21"/>
        <v>43.68725214521966</v>
      </c>
      <c r="AC45" s="3">
        <f t="shared" si="22"/>
        <v>6</v>
      </c>
      <c r="AD45" s="29">
        <f t="shared" si="23"/>
        <v>131.061756435659</v>
      </c>
      <c r="AE45" s="29">
        <f t="shared" si="24"/>
        <v>84.43340462005311</v>
      </c>
      <c r="AG45" s="29">
        <f t="shared" si="6"/>
        <v>69.76060063716236</v>
      </c>
    </row>
    <row r="46" spans="2:33" ht="12.75">
      <c r="B46" s="75">
        <f t="shared" si="25"/>
        <v>29.719885782738935</v>
      </c>
      <c r="C46" s="3">
        <f t="shared" si="7"/>
        <v>26.9084262445486</v>
      </c>
      <c r="D46" s="3">
        <f t="shared" si="8"/>
        <v>24.145906856642874</v>
      </c>
      <c r="E46" s="3">
        <f t="shared" si="9"/>
        <v>36.15367506752232</v>
      </c>
      <c r="H46" s="3">
        <f t="shared" si="0"/>
        <v>5.66341390824385</v>
      </c>
      <c r="I46" s="3">
        <f t="shared" si="1"/>
        <v>2.2662004077642806</v>
      </c>
      <c r="J46" s="3">
        <f t="shared" si="10"/>
        <v>6.099993556081913</v>
      </c>
      <c r="L46" s="28">
        <f t="shared" si="2"/>
        <v>0.14696075346141507</v>
      </c>
      <c r="M46" s="28"/>
      <c r="N46" s="3">
        <f t="shared" si="3"/>
        <v>54.436302288695195</v>
      </c>
      <c r="O46" s="3">
        <f t="shared" si="11"/>
        <v>8.923993408881595</v>
      </c>
      <c r="P46" s="29">
        <f t="shared" si="12"/>
        <v>242.894601414101</v>
      </c>
      <c r="Q46" s="29">
        <f t="shared" si="13"/>
        <v>318.5506334470486</v>
      </c>
      <c r="R46" s="29">
        <f t="shared" si="14"/>
        <v>185.2069379291376</v>
      </c>
      <c r="S46" s="29">
        <f t="shared" si="15"/>
        <v>89.8845813223117</v>
      </c>
      <c r="T46" s="76">
        <f t="shared" si="16"/>
        <v>29.719885782738935</v>
      </c>
      <c r="U46" s="29">
        <f t="shared" si="17"/>
        <v>67.18691994431524</v>
      </c>
      <c r="V46" s="29">
        <f t="shared" si="4"/>
        <v>81.75551370710022</v>
      </c>
      <c r="W46" s="29">
        <f t="shared" si="18"/>
        <v>14.568593762784985</v>
      </c>
      <c r="X46" s="1">
        <f t="shared" si="5"/>
        <v>85</v>
      </c>
      <c r="Y46" s="29">
        <f t="shared" si="19"/>
        <v>75.13691994431524</v>
      </c>
      <c r="Z46" s="3">
        <f t="shared" si="20"/>
        <v>1.6393459940674264</v>
      </c>
      <c r="AB46" s="3">
        <f t="shared" si="21"/>
        <v>43.68725214521966</v>
      </c>
      <c r="AC46" s="3">
        <f t="shared" si="22"/>
        <v>6</v>
      </c>
      <c r="AD46" s="29">
        <f t="shared" si="23"/>
        <v>131.061756435659</v>
      </c>
      <c r="AE46" s="29">
        <f t="shared" si="24"/>
        <v>86.43642151300499</v>
      </c>
      <c r="AG46" s="29">
        <f t="shared" si="6"/>
        <v>72.62370323201132</v>
      </c>
    </row>
    <row r="47" spans="2:33" ht="12.75">
      <c r="B47" s="75">
        <f t="shared" si="25"/>
        <v>32.81341424030548</v>
      </c>
      <c r="C47" s="3">
        <f t="shared" si="7"/>
        <v>51.948359853088846</v>
      </c>
      <c r="D47" s="3">
        <f t="shared" si="8"/>
        <v>7.289879269137499</v>
      </c>
      <c r="E47" s="3">
        <f t="shared" si="9"/>
        <v>52.45735821774305</v>
      </c>
      <c r="H47" s="3">
        <f t="shared" si="0"/>
        <v>5.68266431229321</v>
      </c>
      <c r="I47" s="3">
        <f t="shared" si="1"/>
        <v>2.563786043819867</v>
      </c>
      <c r="J47" s="3">
        <f t="shared" si="10"/>
        <v>6.234233919632499</v>
      </c>
      <c r="L47" s="28">
        <f t="shared" si="2"/>
        <v>0.1497438908162295</v>
      </c>
      <c r="M47" s="28"/>
      <c r="N47" s="3">
        <f t="shared" si="3"/>
        <v>53.424550119496075</v>
      </c>
      <c r="O47" s="3">
        <f t="shared" si="11"/>
        <v>8.569545321559797</v>
      </c>
      <c r="P47" s="29">
        <f t="shared" si="12"/>
        <v>228.91205176648225</v>
      </c>
      <c r="Q47" s="29">
        <f t="shared" si="13"/>
        <v>293.74842807306965</v>
      </c>
      <c r="R47" s="29">
        <f t="shared" si="14"/>
        <v>178.38640971690927</v>
      </c>
      <c r="S47" s="29">
        <f t="shared" si="15"/>
        <v>91.60475272610589</v>
      </c>
      <c r="T47" s="76">
        <f t="shared" si="16"/>
        <v>32.81341424030548</v>
      </c>
      <c r="U47" s="29">
        <f t="shared" si="17"/>
        <v>69.0700462153049</v>
      </c>
      <c r="V47" s="29">
        <f t="shared" si="4"/>
        <v>82.25609280310519</v>
      </c>
      <c r="W47" s="29">
        <f t="shared" si="18"/>
        <v>13.186046587800291</v>
      </c>
      <c r="X47" s="1">
        <f t="shared" si="5"/>
        <v>85</v>
      </c>
      <c r="Y47" s="29">
        <f t="shared" si="19"/>
        <v>77.0200462153049</v>
      </c>
      <c r="Z47" s="3">
        <f t="shared" si="20"/>
        <v>1.6040463237204756</v>
      </c>
      <c r="AB47" s="3">
        <f t="shared" si="21"/>
        <v>43.68725214521966</v>
      </c>
      <c r="AC47" s="3">
        <f t="shared" si="22"/>
        <v>6</v>
      </c>
      <c r="AD47" s="29">
        <f t="shared" si="23"/>
        <v>131.061756435659</v>
      </c>
      <c r="AE47" s="29">
        <f t="shared" si="24"/>
        <v>88.50862213446534</v>
      </c>
      <c r="AG47" s="29">
        <f t="shared" si="6"/>
        <v>75.55598955536875</v>
      </c>
    </row>
    <row r="48" spans="2:33" ht="12.75">
      <c r="B48" s="75">
        <f t="shared" si="25"/>
        <v>36.22894657055622</v>
      </c>
      <c r="C48" s="3">
        <f t="shared" si="7"/>
        <v>33.94295117082914</v>
      </c>
      <c r="D48" s="3">
        <f t="shared" si="8"/>
        <v>-22.422956561111206</v>
      </c>
      <c r="E48" s="3">
        <f t="shared" si="9"/>
        <v>40.6806208793176</v>
      </c>
      <c r="H48" s="3">
        <f t="shared" si="0"/>
        <v>5.709694993147545</v>
      </c>
      <c r="I48" s="3">
        <f t="shared" si="1"/>
        <v>2.9201107686972385</v>
      </c>
      <c r="J48" s="3">
        <f t="shared" si="10"/>
        <v>6.413085358564606</v>
      </c>
      <c r="L48" s="28">
        <f t="shared" si="2"/>
        <v>0.1531370245798483</v>
      </c>
      <c r="M48" s="28"/>
      <c r="N48" s="3">
        <f t="shared" si="3"/>
        <v>52.24079560086177</v>
      </c>
      <c r="O48" s="3">
        <f t="shared" si="11"/>
        <v>8.145969167725914</v>
      </c>
      <c r="P48" s="29">
        <f t="shared" si="12"/>
        <v>212.77595513104578</v>
      </c>
      <c r="Q48" s="29">
        <f t="shared" si="13"/>
        <v>265.4272547261649</v>
      </c>
      <c r="R48" s="29">
        <f t="shared" si="14"/>
        <v>170.56879531318867</v>
      </c>
      <c r="S48" s="29">
        <f t="shared" si="15"/>
        <v>93.32492412990007</v>
      </c>
      <c r="T48" s="76">
        <f t="shared" si="16"/>
        <v>36.22894657055622</v>
      </c>
      <c r="U48" s="29">
        <f t="shared" si="17"/>
        <v>70.98483944544525</v>
      </c>
      <c r="V48" s="29">
        <f t="shared" si="4"/>
        <v>82.6894311650281</v>
      </c>
      <c r="W48" s="29">
        <f t="shared" si="18"/>
        <v>11.70459171958285</v>
      </c>
      <c r="X48" s="1">
        <f t="shared" si="5"/>
        <v>85</v>
      </c>
      <c r="Y48" s="29">
        <f t="shared" si="19"/>
        <v>78.93483944544525</v>
      </c>
      <c r="Z48" s="3">
        <f t="shared" si="20"/>
        <v>1.559311850830912</v>
      </c>
      <c r="AB48" s="3">
        <f t="shared" si="21"/>
        <v>43.68725214521966</v>
      </c>
      <c r="AC48" s="3">
        <f t="shared" si="22"/>
        <v>6</v>
      </c>
      <c r="AD48" s="29">
        <f t="shared" si="23"/>
        <v>131.061756435659</v>
      </c>
      <c r="AE48" s="29">
        <f t="shared" si="24"/>
        <v>90.66909389836968</v>
      </c>
      <c r="AG48" s="29">
        <f t="shared" si="6"/>
        <v>78.57654702117019</v>
      </c>
    </row>
    <row r="49" spans="2:33" ht="12.75">
      <c r="B49" s="75">
        <f t="shared" si="25"/>
        <v>39.99999999999994</v>
      </c>
      <c r="C49" s="3">
        <f t="shared" si="7"/>
        <v>16.888167470566167</v>
      </c>
      <c r="D49" s="3">
        <f t="shared" si="8"/>
        <v>-19.330108045115175</v>
      </c>
      <c r="E49" s="3">
        <f t="shared" si="9"/>
        <v>25.668332192600975</v>
      </c>
      <c r="H49" s="3">
        <f t="shared" si="0"/>
        <v>5.749046457903318</v>
      </c>
      <c r="I49" s="3">
        <f t="shared" si="1"/>
        <v>3.3564189907718474</v>
      </c>
      <c r="J49" s="3">
        <f t="shared" si="10"/>
        <v>6.6571077516249195</v>
      </c>
      <c r="L49" s="28">
        <f t="shared" si="2"/>
        <v>0.15724304816136367</v>
      </c>
      <c r="M49" s="28"/>
      <c r="N49" s="3">
        <f t="shared" si="3"/>
        <v>50.87665301292275</v>
      </c>
      <c r="O49" s="3">
        <f t="shared" si="11"/>
        <v>7.642455990066313</v>
      </c>
      <c r="P49" s="29">
        <f t="shared" si="12"/>
        <v>194.41129078656843</v>
      </c>
      <c r="Q49" s="29">
        <f t="shared" si="13"/>
        <v>233.6285342404019</v>
      </c>
      <c r="R49" s="29">
        <f t="shared" si="14"/>
        <v>161.77711386233386</v>
      </c>
      <c r="S49" s="29">
        <f t="shared" si="15"/>
        <v>95.04509553369425</v>
      </c>
      <c r="T49" s="76">
        <f t="shared" si="16"/>
        <v>39.99999999999994</v>
      </c>
      <c r="U49" s="29">
        <f t="shared" si="17"/>
        <v>72.93483583828174</v>
      </c>
      <c r="V49" s="29">
        <f t="shared" si="4"/>
        <v>83.06179973983886</v>
      </c>
      <c r="W49" s="29">
        <f t="shared" si="18"/>
        <v>10.126963901557119</v>
      </c>
      <c r="X49" s="1">
        <f t="shared" si="5"/>
        <v>85</v>
      </c>
      <c r="Y49" s="29">
        <f t="shared" si="19"/>
        <v>80.88483583828175</v>
      </c>
      <c r="Z49" s="3">
        <f t="shared" si="20"/>
        <v>1.5021538441463744</v>
      </c>
      <c r="AB49" s="3">
        <f t="shared" si="21"/>
        <v>43.68725214521966</v>
      </c>
      <c r="AC49" s="3">
        <f t="shared" si="22"/>
        <v>6</v>
      </c>
      <c r="AD49" s="29">
        <f t="shared" si="23"/>
        <v>131.061756435659</v>
      </c>
      <c r="AE49" s="29">
        <f t="shared" si="24"/>
        <v>92.9434616119231</v>
      </c>
      <c r="AG49" s="29">
        <f t="shared" si="6"/>
        <v>81.7110004366207</v>
      </c>
    </row>
    <row r="50" spans="2:33" ht="12.75">
      <c r="B50" s="75">
        <f t="shared" si="25"/>
        <v>44.163580546952424</v>
      </c>
      <c r="C50" s="3">
        <f t="shared" si="7"/>
        <v>11.046864143333426</v>
      </c>
      <c r="D50" s="3">
        <f t="shared" si="8"/>
        <v>-14.181270489642321</v>
      </c>
      <c r="E50" s="3">
        <f t="shared" si="9"/>
        <v>17.97614085674859</v>
      </c>
      <c r="H50" s="3">
        <f t="shared" si="0"/>
        <v>5.809126092252816</v>
      </c>
      <c r="I50" s="3">
        <f t="shared" si="1"/>
        <v>3.90694460199994</v>
      </c>
      <c r="J50" s="3">
        <f t="shared" si="10"/>
        <v>7.000725825140486</v>
      </c>
      <c r="L50" s="28">
        <f t="shared" si="2"/>
        <v>0.16213784438298978</v>
      </c>
      <c r="M50" s="28"/>
      <c r="N50" s="3">
        <f t="shared" si="3"/>
        <v>49.34073245172178</v>
      </c>
      <c r="O50" s="3">
        <f t="shared" si="11"/>
        <v>7.047945267979644</v>
      </c>
      <c r="P50" s="29">
        <f t="shared" si="12"/>
        <v>173.8753909008811</v>
      </c>
      <c r="Q50" s="29">
        <f t="shared" si="13"/>
        <v>198.69413000174663</v>
      </c>
      <c r="R50" s="29">
        <f t="shared" si="14"/>
        <v>152.1567424295244</v>
      </c>
      <c r="S50" s="29">
        <f t="shared" si="15"/>
        <v>96.76526693748843</v>
      </c>
      <c r="T50" s="76">
        <f t="shared" si="16"/>
        <v>44.163580546952424</v>
      </c>
      <c r="U50" s="29">
        <f t="shared" si="17"/>
        <v>74.92126605703466</v>
      </c>
      <c r="V50" s="29">
        <f t="shared" si="4"/>
        <v>83.37965475391009</v>
      </c>
      <c r="W50" s="29">
        <f t="shared" si="18"/>
        <v>8.458388696875431</v>
      </c>
      <c r="X50" s="1">
        <f t="shared" si="5"/>
        <v>85</v>
      </c>
      <c r="Y50" s="29">
        <f t="shared" si="19"/>
        <v>82.87126605703466</v>
      </c>
      <c r="Z50" s="3">
        <f t="shared" si="20"/>
        <v>1.4284233163493911</v>
      </c>
      <c r="AB50" s="3">
        <f t="shared" si="21"/>
        <v>43.68725214521966</v>
      </c>
      <c r="AC50" s="3">
        <f t="shared" si="22"/>
        <v>6</v>
      </c>
      <c r="AD50" s="29">
        <f t="shared" si="23"/>
        <v>131.061756435659</v>
      </c>
      <c r="AE50" s="29">
        <f t="shared" si="24"/>
        <v>95.36704148857613</v>
      </c>
      <c r="AG50" s="29">
        <f t="shared" si="6"/>
        <v>84.99466601517082</v>
      </c>
    </row>
    <row r="51" spans="2:33" ht="12.75">
      <c r="B51" s="75">
        <f t="shared" si="25"/>
        <v>48.76054616817894</v>
      </c>
      <c r="C51" s="3">
        <f t="shared" si="7"/>
        <v>8.686124043674422</v>
      </c>
      <c r="D51" s="3">
        <f t="shared" si="8"/>
        <v>-10.668933225315232</v>
      </c>
      <c r="E51" s="3">
        <f t="shared" si="9"/>
        <v>13.757720998346135</v>
      </c>
      <c r="H51" s="3">
        <f t="shared" si="0"/>
        <v>5.906955566651367</v>
      </c>
      <c r="I51" s="3">
        <f t="shared" si="1"/>
        <v>4.6308463143791165</v>
      </c>
      <c r="J51" s="3">
        <f t="shared" si="10"/>
        <v>7.505788543104064</v>
      </c>
      <c r="L51" s="28">
        <f t="shared" si="2"/>
        <v>0.167801279781732</v>
      </c>
      <c r="M51" s="28"/>
      <c r="N51" s="3">
        <f t="shared" si="3"/>
        <v>47.675440916815546</v>
      </c>
      <c r="O51" s="3">
        <f t="shared" si="11"/>
        <v>6.351823082015455</v>
      </c>
      <c r="P51" s="29">
        <f t="shared" si="12"/>
        <v>151.41298303034654</v>
      </c>
      <c r="Q51" s="29">
        <f t="shared" si="13"/>
        <v>161.38262586089726</v>
      </c>
      <c r="R51" s="29">
        <f t="shared" si="14"/>
        <v>142.0592291632981</v>
      </c>
      <c r="S51" s="29">
        <f t="shared" si="15"/>
        <v>98.48543834128259</v>
      </c>
      <c r="T51" s="76">
        <f t="shared" si="16"/>
        <v>48.76054616817894</v>
      </c>
      <c r="U51" s="29">
        <f t="shared" si="17"/>
        <v>76.9396549404241</v>
      </c>
      <c r="V51" s="29">
        <f t="shared" si="4"/>
        <v>83.6493769645161</v>
      </c>
      <c r="W51" s="29">
        <f t="shared" si="18"/>
        <v>6.709722024091988</v>
      </c>
      <c r="X51" s="1">
        <f t="shared" si="5"/>
        <v>85</v>
      </c>
      <c r="Y51" s="29">
        <f t="shared" si="19"/>
        <v>84.88965494042411</v>
      </c>
      <c r="Z51" s="3">
        <f t="shared" si="20"/>
        <v>1.3323050526366733</v>
      </c>
      <c r="AB51" s="3">
        <f t="shared" si="21"/>
        <v>43.68725214521966</v>
      </c>
      <c r="AC51" s="3">
        <f t="shared" si="22"/>
        <v>5.82047467688885</v>
      </c>
      <c r="AD51" s="29">
        <f t="shared" si="23"/>
        <v>127.14027240705455</v>
      </c>
      <c r="AE51" s="29">
        <f t="shared" si="24"/>
        <v>97.72663856033397</v>
      </c>
      <c r="AG51" s="29">
        <f t="shared" si="6"/>
        <v>88.21434878882575</v>
      </c>
    </row>
    <row r="52" spans="2:33" ht="12.75">
      <c r="B52" s="75">
        <f t="shared" si="25"/>
        <v>53.83600770529416</v>
      </c>
      <c r="C52" s="3">
        <f t="shared" si="7"/>
        <v>7.540120160879199</v>
      </c>
      <c r="D52" s="3">
        <f t="shared" si="8"/>
        <v>-8.263820895218924</v>
      </c>
      <c r="E52" s="3">
        <f t="shared" si="9"/>
        <v>11.186784516953647</v>
      </c>
      <c r="H52" s="3">
        <f t="shared" si="0"/>
        <v>6.081385148389504</v>
      </c>
      <c r="I52" s="3">
        <f t="shared" si="1"/>
        <v>5.640095214560042</v>
      </c>
      <c r="J52" s="3">
        <f t="shared" si="10"/>
        <v>8.294209989646726</v>
      </c>
      <c r="L52" s="28">
        <f t="shared" si="2"/>
        <v>0.1739642394453104</v>
      </c>
      <c r="M52" s="28"/>
      <c r="N52" s="3">
        <f t="shared" si="3"/>
        <v>45.986462651796785</v>
      </c>
      <c r="O52" s="3">
        <f t="shared" si="11"/>
        <v>5.544405399573863</v>
      </c>
      <c r="P52" s="29">
        <f t="shared" si="12"/>
        <v>127.48379591696194</v>
      </c>
      <c r="Q52" s="29">
        <f t="shared" si="13"/>
        <v>122.96172493929524</v>
      </c>
      <c r="R52" s="29">
        <f t="shared" si="14"/>
        <v>132.1721717015688</v>
      </c>
      <c r="S52" s="29">
        <f t="shared" si="15"/>
        <v>100.20560974507677</v>
      </c>
      <c r="T52" s="76">
        <f t="shared" si="16"/>
        <v>53.83600770529416</v>
      </c>
      <c r="U52" s="29">
        <f t="shared" si="17"/>
        <v>78.97312062325122</v>
      </c>
      <c r="V52" s="29">
        <f t="shared" si="4"/>
        <v>83.87706935657054</v>
      </c>
      <c r="W52" s="29">
        <f t="shared" si="18"/>
        <v>4.903948733319325</v>
      </c>
      <c r="X52" s="1">
        <f t="shared" si="5"/>
        <v>85</v>
      </c>
      <c r="Y52" s="29">
        <f t="shared" si="19"/>
        <v>86.92312062325122</v>
      </c>
      <c r="Z52" s="3">
        <f t="shared" si="20"/>
        <v>1.2056603356416744</v>
      </c>
      <c r="AB52" s="3">
        <f t="shared" si="21"/>
        <v>43.68725214521966</v>
      </c>
      <c r="AC52" s="3">
        <f t="shared" si="22"/>
        <v>5.2671987084667995</v>
      </c>
      <c r="AD52" s="29">
        <f t="shared" si="23"/>
        <v>115.05471903788221</v>
      </c>
      <c r="AE52" s="29">
        <f t="shared" si="24"/>
        <v>99.7601042431611</v>
      </c>
      <c r="AG52" s="29">
        <f t="shared" si="6"/>
        <v>91.10790017354995</v>
      </c>
    </row>
    <row r="53" spans="2:33" ht="12.75">
      <c r="B53" s="75">
        <f t="shared" si="25"/>
        <v>59.439771565477834</v>
      </c>
      <c r="C53" s="3">
        <f t="shared" si="7"/>
        <v>6.906632466611889</v>
      </c>
      <c r="D53" s="3">
        <f t="shared" si="8"/>
        <v>-6.518967744222175</v>
      </c>
      <c r="E53" s="3">
        <f t="shared" si="9"/>
        <v>9.497289743872543</v>
      </c>
      <c r="H53" s="3">
        <f t="shared" si="0"/>
        <v>6.437542917094822</v>
      </c>
      <c r="I53" s="3">
        <f t="shared" si="1"/>
        <v>7.17451148262537</v>
      </c>
      <c r="J53" s="3">
        <f t="shared" si="10"/>
        <v>9.639272473779387</v>
      </c>
      <c r="L53" s="28">
        <f t="shared" si="2"/>
        <v>0.1798093592119355</v>
      </c>
      <c r="M53" s="28"/>
      <c r="N53" s="3">
        <f t="shared" si="3"/>
        <v>44.49156615129615</v>
      </c>
      <c r="O53" s="3">
        <f t="shared" si="11"/>
        <v>4.615656033411389</v>
      </c>
      <c r="P53" s="29">
        <f t="shared" si="12"/>
        <v>102.678882871076</v>
      </c>
      <c r="Q53" s="29">
        <f t="shared" si="13"/>
        <v>85.21712247506782</v>
      </c>
      <c r="R53" s="29">
        <f t="shared" si="14"/>
        <v>123.71871616219757</v>
      </c>
      <c r="S53" s="29">
        <f t="shared" si="15"/>
        <v>101.92578114887095</v>
      </c>
      <c r="T53" s="76">
        <f t="shared" si="16"/>
        <v>59.439771565477834</v>
      </c>
      <c r="U53" s="29">
        <f t="shared" si="17"/>
        <v>80.98033823940312</v>
      </c>
      <c r="V53" s="29">
        <f t="shared" si="4"/>
        <v>84.06841543425867</v>
      </c>
      <c r="W53" s="29">
        <f t="shared" si="18"/>
        <v>3.0880771948555434</v>
      </c>
      <c r="X53" s="1">
        <f t="shared" si="5"/>
        <v>85</v>
      </c>
      <c r="Y53" s="29">
        <f t="shared" si="19"/>
        <v>88.93033823940313</v>
      </c>
      <c r="Z53" s="3">
        <f t="shared" si="20"/>
        <v>1.0374226921380072</v>
      </c>
      <c r="AB53" s="3">
        <f t="shared" si="21"/>
        <v>43.68725214521966</v>
      </c>
      <c r="AC53" s="3">
        <f t="shared" si="22"/>
        <v>4.532214673260571</v>
      </c>
      <c r="AD53" s="29">
        <f t="shared" si="23"/>
        <v>99.00000260349944</v>
      </c>
      <c r="AE53" s="29">
        <f t="shared" si="24"/>
        <v>101.767321859313</v>
      </c>
      <c r="AG53" s="29">
        <f t="shared" si="6"/>
        <v>93.97520349159895</v>
      </c>
    </row>
    <row r="54" spans="2:33" ht="12.75">
      <c r="B54" s="75">
        <f t="shared" si="25"/>
        <v>65.62682848061091</v>
      </c>
      <c r="C54" s="3">
        <f t="shared" si="7"/>
        <v>6.522895225795797</v>
      </c>
      <c r="D54" s="3">
        <f t="shared" si="8"/>
        <v>-5.180881787213031</v>
      </c>
      <c r="E54" s="3">
        <f t="shared" si="9"/>
        <v>8.330047912214269</v>
      </c>
      <c r="H54" s="3">
        <f t="shared" si="0"/>
        <v>7.345411920369706</v>
      </c>
      <c r="I54" s="3">
        <f t="shared" si="1"/>
        <v>9.845797047113596</v>
      </c>
      <c r="J54" s="3">
        <f t="shared" si="10"/>
        <v>12.283924282282928</v>
      </c>
      <c r="L54" s="28">
        <f t="shared" si="2"/>
        <v>0.1835233643282373</v>
      </c>
      <c r="M54" s="28"/>
      <c r="N54" s="3">
        <f t="shared" si="3"/>
        <v>43.59117995293367</v>
      </c>
      <c r="O54" s="3">
        <f t="shared" si="11"/>
        <v>3.5486363275460038</v>
      </c>
      <c r="P54" s="29">
        <f t="shared" si="12"/>
        <v>77.34462237078776</v>
      </c>
      <c r="Q54" s="29">
        <f t="shared" si="13"/>
        <v>50.37127914071675</v>
      </c>
      <c r="R54" s="29">
        <f t="shared" si="14"/>
        <v>118.7619356055654</v>
      </c>
      <c r="S54" s="29">
        <f t="shared" si="15"/>
        <v>103.64595255266514</v>
      </c>
      <c r="T54" s="76">
        <f t="shared" si="16"/>
        <v>65.62682848061091</v>
      </c>
      <c r="U54" s="29">
        <f t="shared" si="17"/>
        <v>82.87809101770696</v>
      </c>
      <c r="V54" s="29">
        <f t="shared" si="4"/>
        <v>84.22859300885098</v>
      </c>
      <c r="W54" s="29">
        <f t="shared" si="18"/>
        <v>1.3505019911440144</v>
      </c>
      <c r="X54" s="1">
        <f t="shared" si="5"/>
        <v>85</v>
      </c>
      <c r="Y54" s="29">
        <f t="shared" si="19"/>
        <v>90.82809101770697</v>
      </c>
      <c r="Z54" s="3">
        <f t="shared" si="20"/>
        <v>0.8140720970108041</v>
      </c>
      <c r="AB54" s="3">
        <f t="shared" si="21"/>
        <v>43.59117995293367</v>
      </c>
      <c r="AC54" s="3">
        <f t="shared" si="22"/>
        <v>3.5486363275460038</v>
      </c>
      <c r="AD54" s="29">
        <f t="shared" si="23"/>
        <v>77.34462237078776</v>
      </c>
      <c r="AE54" s="29">
        <f t="shared" si="24"/>
        <v>103.64595255266514</v>
      </c>
      <c r="AG54" s="29">
        <f t="shared" si="6"/>
        <v>96.71391988684817</v>
      </c>
    </row>
    <row r="55" spans="2:33" ht="12.75">
      <c r="B55" s="75">
        <f t="shared" si="25"/>
        <v>72.4578931411124</v>
      </c>
      <c r="C55" s="3">
        <f t="shared" si="7"/>
        <v>6.274483915786337</v>
      </c>
      <c r="D55" s="3">
        <f t="shared" si="8"/>
        <v>-4.104940214415828</v>
      </c>
      <c r="E55" s="3">
        <f t="shared" si="9"/>
        <v>7.497978565812902</v>
      </c>
      <c r="H55" s="3">
        <f t="shared" si="0"/>
        <v>10.869052399191943</v>
      </c>
      <c r="I55" s="3">
        <f t="shared" si="1"/>
        <v>15.60117219285064</v>
      </c>
      <c r="J55" s="3">
        <f t="shared" si="10"/>
        <v>19.01401782494579</v>
      </c>
      <c r="L55" s="28">
        <f t="shared" si="2"/>
        <v>0.18206904243497996</v>
      </c>
      <c r="M55" s="28"/>
      <c r="N55" s="3">
        <f t="shared" si="3"/>
        <v>43.93937537655222</v>
      </c>
      <c r="O55" s="3">
        <f t="shared" si="11"/>
        <v>2.310893772220259</v>
      </c>
      <c r="P55" s="29">
        <f t="shared" si="12"/>
        <v>50.76961445646136</v>
      </c>
      <c r="Q55" s="29">
        <f t="shared" si="13"/>
        <v>21.36092010594551</v>
      </c>
      <c r="R55" s="29">
        <f t="shared" si="14"/>
        <v>120.66679428009772</v>
      </c>
      <c r="S55" s="29">
        <f t="shared" si="15"/>
        <v>105.36612395645929</v>
      </c>
      <c r="T55" s="76">
        <f t="shared" si="16"/>
        <v>72.4578931411124</v>
      </c>
      <c r="U55" s="29">
        <f t="shared" si="17"/>
        <v>84.52915734239326</v>
      </c>
      <c r="V55" s="29">
        <f t="shared" si="4"/>
        <v>84.36223424480164</v>
      </c>
      <c r="W55" s="29">
        <f t="shared" si="18"/>
        <v>-0.16692309759162072</v>
      </c>
      <c r="X55" s="1">
        <f t="shared" si="5"/>
        <v>85</v>
      </c>
      <c r="Y55" s="29">
        <f t="shared" si="19"/>
        <v>92.47915734239326</v>
      </c>
      <c r="Z55" s="3">
        <f t="shared" si="20"/>
        <v>0.5259277703463766</v>
      </c>
      <c r="AB55" s="3">
        <f t="shared" si="21"/>
        <v>43.68725214521966</v>
      </c>
      <c r="AC55" s="3">
        <f t="shared" si="22"/>
        <v>2.2976339113295334</v>
      </c>
      <c r="AD55" s="29">
        <f t="shared" si="23"/>
        <v>50.1886560108303</v>
      </c>
      <c r="AE55" s="29">
        <f t="shared" si="24"/>
        <v>105.31614096230314</v>
      </c>
      <c r="AG55" s="29">
        <f t="shared" si="6"/>
        <v>99.24419399838327</v>
      </c>
    </row>
    <row r="56" spans="2:33" ht="12.75">
      <c r="B56" s="75">
        <f t="shared" si="25"/>
        <v>79.99999999999984</v>
      </c>
      <c r="C56" s="3">
        <f t="shared" si="7"/>
        <v>6.1055012744861665</v>
      </c>
      <c r="D56" s="3">
        <f t="shared" si="8"/>
        <v>-3.2043742074566315</v>
      </c>
      <c r="E56" s="3">
        <f t="shared" si="9"/>
        <v>6.895299839322836</v>
      </c>
      <c r="H56" s="3">
        <f t="shared" si="0"/>
        <v>39.5411907872262</v>
      </c>
      <c r="I56" s="3">
        <f t="shared" si="1"/>
        <v>19.187911880521415</v>
      </c>
      <c r="J56" s="3">
        <f t="shared" si="10"/>
        <v>43.95090136967019</v>
      </c>
      <c r="L56" s="28">
        <f t="shared" si="2"/>
        <v>0.17226126358668178</v>
      </c>
      <c r="M56" s="28"/>
      <c r="N56" s="3">
        <f t="shared" si="3"/>
        <v>46.44108509034827</v>
      </c>
      <c r="O56" s="3">
        <f t="shared" si="11"/>
        <v>1.0566583083184844</v>
      </c>
      <c r="P56" s="29">
        <f t="shared" si="12"/>
        <v>24.536179204021092</v>
      </c>
      <c r="Q56" s="29">
        <f t="shared" si="13"/>
        <v>4.466107122153925</v>
      </c>
      <c r="R56" s="29">
        <f t="shared" si="14"/>
        <v>134.7983990230605</v>
      </c>
      <c r="S56" s="29">
        <f t="shared" si="15"/>
        <v>107.08629536025347</v>
      </c>
      <c r="T56" s="76">
        <f t="shared" si="16"/>
        <v>79.99999999999984</v>
      </c>
      <c r="U56" s="29">
        <f t="shared" si="17"/>
        <v>85.76835915538211</v>
      </c>
      <c r="V56" s="29">
        <f t="shared" si="4"/>
        <v>84.47342122555301</v>
      </c>
      <c r="W56" s="29">
        <f t="shared" si="18"/>
        <v>-1.2949379298291035</v>
      </c>
      <c r="X56" s="1">
        <f t="shared" si="5"/>
        <v>85</v>
      </c>
      <c r="Y56" s="29">
        <f t="shared" si="19"/>
        <v>93.71835915538212</v>
      </c>
      <c r="Z56" s="3">
        <f t="shared" si="20"/>
        <v>0.22752661921288464</v>
      </c>
      <c r="AB56" s="3">
        <f t="shared" si="21"/>
        <v>43.68725214521966</v>
      </c>
      <c r="AC56" s="3">
        <f t="shared" si="22"/>
        <v>0.9940012783302672</v>
      </c>
      <c r="AD56" s="29">
        <f t="shared" si="23"/>
        <v>21.712592239542523</v>
      </c>
      <c r="AE56" s="29">
        <f t="shared" si="24"/>
        <v>106.55534277529199</v>
      </c>
      <c r="AG56" s="29">
        <f t="shared" si="6"/>
        <v>101.34348151326921</v>
      </c>
    </row>
    <row r="57" spans="2:33" ht="12.75">
      <c r="B57" s="75">
        <f t="shared" si="25"/>
        <v>88.3271610939048</v>
      </c>
      <c r="C57" s="3">
        <f t="shared" si="7"/>
        <v>5.986114286839935</v>
      </c>
      <c r="D57" s="3">
        <f t="shared" si="8"/>
        <v>-2.4242358613602124</v>
      </c>
      <c r="E57" s="3">
        <f t="shared" si="9"/>
        <v>6.458365409808745</v>
      </c>
      <c r="H57" s="3">
        <f t="shared" si="0"/>
        <v>17.27571260838845</v>
      </c>
      <c r="I57" s="3">
        <f t="shared" si="1"/>
        <v>-17.29097674705431</v>
      </c>
      <c r="J57" s="3">
        <f t="shared" si="10"/>
        <v>24.442342829499886</v>
      </c>
      <c r="L57" s="28">
        <f t="shared" si="2"/>
        <v>0.15358557435084044</v>
      </c>
      <c r="M57" s="28"/>
      <c r="N57" s="3">
        <f t="shared" si="3"/>
        <v>52.08822530249712</v>
      </c>
      <c r="O57" s="3">
        <f t="shared" si="11"/>
        <v>2.1310651628546404</v>
      </c>
      <c r="P57" s="29">
        <f t="shared" si="12"/>
        <v>55.501701168537615</v>
      </c>
      <c r="Q57" s="29">
        <f t="shared" si="13"/>
        <v>18.1657549133307</v>
      </c>
      <c r="R57" s="29">
        <f t="shared" si="14"/>
        <v>169.57395094773133</v>
      </c>
      <c r="S57" s="29">
        <f t="shared" si="15"/>
        <v>108.80646676404766</v>
      </c>
      <c r="T57" s="76">
        <f t="shared" si="16"/>
        <v>88.3271610939048</v>
      </c>
      <c r="U57" s="29">
        <f t="shared" si="17"/>
        <v>86.49178651082138</v>
      </c>
      <c r="V57" s="29">
        <f t="shared" si="4"/>
        <v>84.5657066469345</v>
      </c>
      <c r="W57" s="29">
        <f t="shared" si="18"/>
        <v>-1.9260798638868835</v>
      </c>
      <c r="X57" s="1">
        <f t="shared" si="5"/>
        <v>85</v>
      </c>
      <c r="Y57" s="29">
        <f t="shared" si="19"/>
        <v>94.44178651082139</v>
      </c>
      <c r="Z57" s="3">
        <f t="shared" si="20"/>
        <v>0.40912608377012155</v>
      </c>
      <c r="AB57" s="3">
        <f t="shared" si="21"/>
        <v>43.68725214521966</v>
      </c>
      <c r="AC57" s="3">
        <f t="shared" si="22"/>
        <v>1.787359438085156</v>
      </c>
      <c r="AD57" s="29">
        <f t="shared" si="23"/>
        <v>39.04241122288217</v>
      </c>
      <c r="AE57" s="29">
        <f t="shared" si="24"/>
        <v>107.27877013073126</v>
      </c>
      <c r="AG57" s="29">
        <f t="shared" si="6"/>
        <v>102.92699457060556</v>
      </c>
    </row>
    <row r="58" spans="2:33" ht="12.75">
      <c r="B58" s="75">
        <f t="shared" si="25"/>
        <v>97.52109233635782</v>
      </c>
      <c r="C58" s="3">
        <f t="shared" si="7"/>
        <v>5.899248806923354</v>
      </c>
      <c r="D58" s="3">
        <f t="shared" si="8"/>
        <v>-1.7279075579521526</v>
      </c>
      <c r="E58" s="3">
        <f t="shared" si="9"/>
        <v>6.147096958305993</v>
      </c>
      <c r="H58" s="3">
        <f t="shared" si="0"/>
        <v>8.373511727003363</v>
      </c>
      <c r="I58" s="3">
        <f t="shared" si="1"/>
        <v>-8.539796599965348</v>
      </c>
      <c r="J58" s="3">
        <f t="shared" si="10"/>
        <v>11.960093001772293</v>
      </c>
      <c r="L58" s="28">
        <f t="shared" si="2"/>
        <v>0.12962891593655207</v>
      </c>
      <c r="M58" s="28"/>
      <c r="N58" s="3">
        <f t="shared" si="3"/>
        <v>61.714625492321986</v>
      </c>
      <c r="O58" s="3">
        <f t="shared" si="11"/>
        <v>5.160045618639995</v>
      </c>
      <c r="P58" s="29">
        <f t="shared" si="12"/>
        <v>159.22514143883208</v>
      </c>
      <c r="Q58" s="29">
        <f t="shared" si="13"/>
        <v>106.50428314578322</v>
      </c>
      <c r="R58" s="29">
        <f t="shared" si="14"/>
        <v>238.0434374785974</v>
      </c>
      <c r="S58" s="29">
        <f t="shared" si="15"/>
        <v>110.52663816784184</v>
      </c>
      <c r="T58" s="76">
        <f t="shared" si="16"/>
        <v>97.52109233635782</v>
      </c>
      <c r="U58" s="29">
        <f t="shared" si="17"/>
        <v>86.73898717397583</v>
      </c>
      <c r="V58" s="29">
        <f t="shared" si="4"/>
        <v>84.64215064732454</v>
      </c>
      <c r="W58" s="29">
        <f t="shared" si="18"/>
        <v>-2.0968365266512876</v>
      </c>
      <c r="X58" s="1">
        <f t="shared" si="5"/>
        <v>85</v>
      </c>
      <c r="Y58" s="29">
        <f t="shared" si="19"/>
        <v>94.68898717397583</v>
      </c>
      <c r="Z58" s="3">
        <f t="shared" si="20"/>
        <v>0.8361138996593221</v>
      </c>
      <c r="AB58" s="3">
        <f t="shared" si="21"/>
        <v>43.68725214521966</v>
      </c>
      <c r="AC58" s="3">
        <f t="shared" si="22"/>
        <v>3.6527518756539696</v>
      </c>
      <c r="AD58" s="29">
        <f t="shared" si="23"/>
        <v>79.78934610780951</v>
      </c>
      <c r="AE58" s="29">
        <f t="shared" si="24"/>
        <v>107.52597079388572</v>
      </c>
      <c r="AG58" s="29">
        <f t="shared" si="6"/>
        <v>104.03428093565711</v>
      </c>
    </row>
    <row r="59" spans="2:33" ht="12.75">
      <c r="B59" s="75">
        <f t="shared" si="25"/>
        <v>107.67201541058824</v>
      </c>
      <c r="C59" s="3">
        <f t="shared" si="7"/>
        <v>5.834565634494193</v>
      </c>
      <c r="D59" s="3">
        <f t="shared" si="8"/>
        <v>-1.0897919838448442</v>
      </c>
      <c r="E59" s="3">
        <f t="shared" si="9"/>
        <v>5.935469881253977</v>
      </c>
      <c r="H59" s="3">
        <f t="shared" si="0"/>
        <v>6.756072626300747</v>
      </c>
      <c r="I59" s="3">
        <f t="shared" si="1"/>
        <v>-4.72218078144507</v>
      </c>
      <c r="J59" s="3">
        <f t="shared" si="10"/>
        <v>8.242785249204267</v>
      </c>
      <c r="L59" s="28">
        <f t="shared" si="2"/>
        <v>0.10537123170389913</v>
      </c>
      <c r="M59" s="28"/>
      <c r="N59" s="3">
        <f t="shared" si="3"/>
        <v>75.9220507403822</v>
      </c>
      <c r="O59" s="3">
        <f t="shared" si="11"/>
        <v>9.210727738868544</v>
      </c>
      <c r="P59" s="29">
        <f t="shared" si="12"/>
        <v>349.6486693731117</v>
      </c>
      <c r="Q59" s="29">
        <f t="shared" si="13"/>
        <v>339.35002191824975</v>
      </c>
      <c r="R59" s="29">
        <f t="shared" si="14"/>
        <v>360.2598617890731</v>
      </c>
      <c r="S59" s="29">
        <f t="shared" si="15"/>
        <v>112.24680957163602</v>
      </c>
      <c r="T59" s="76">
        <f t="shared" si="16"/>
        <v>107.67201541058824</v>
      </c>
      <c r="U59" s="29">
        <f t="shared" si="17"/>
        <v>86.65956192798187</v>
      </c>
      <c r="V59" s="29">
        <f t="shared" si="4"/>
        <v>84.70536661323098</v>
      </c>
      <c r="W59" s="29">
        <f t="shared" si="18"/>
        <v>-1.9541953147508906</v>
      </c>
      <c r="X59" s="1">
        <f t="shared" si="5"/>
        <v>85</v>
      </c>
      <c r="Y59" s="29">
        <f t="shared" si="19"/>
        <v>94.60956192798187</v>
      </c>
      <c r="Z59" s="3">
        <f t="shared" si="20"/>
        <v>1.2131821584173104</v>
      </c>
      <c r="AB59" s="3">
        <f t="shared" si="21"/>
        <v>43.68725214521966</v>
      </c>
      <c r="AC59" s="3">
        <f t="shared" si="22"/>
        <v>5.300059485285885</v>
      </c>
      <c r="AD59" s="29">
        <f t="shared" si="23"/>
        <v>115.77251755917379</v>
      </c>
      <c r="AE59" s="29">
        <f t="shared" si="24"/>
        <v>107.44654554789174</v>
      </c>
      <c r="AG59" s="29">
        <f t="shared" si="6"/>
        <v>104.81494139156023</v>
      </c>
    </row>
    <row r="60" spans="2:33" ht="12.75">
      <c r="B60" s="75">
        <f t="shared" si="25"/>
        <v>118.8795431309556</v>
      </c>
      <c r="C60" s="3">
        <f t="shared" si="7"/>
        <v>5.7855059920659855</v>
      </c>
      <c r="D60" s="3">
        <f t="shared" si="8"/>
        <v>-0.4911581543871173</v>
      </c>
      <c r="E60" s="3">
        <f t="shared" si="9"/>
        <v>5.8063168977289195</v>
      </c>
      <c r="H60" s="3">
        <f t="shared" si="0"/>
        <v>6.217730574244139</v>
      </c>
      <c r="I60" s="3">
        <f t="shared" si="1"/>
        <v>-2.651462799227839</v>
      </c>
      <c r="J60" s="3">
        <f t="shared" si="10"/>
        <v>6.759469540546763</v>
      </c>
      <c r="L60" s="28">
        <f t="shared" si="2"/>
        <v>0.08400489261680616</v>
      </c>
      <c r="M60" s="28"/>
      <c r="N60" s="3">
        <f t="shared" si="3"/>
        <v>95.23254837658713</v>
      </c>
      <c r="O60" s="3">
        <f t="shared" si="11"/>
        <v>14.088760635037039</v>
      </c>
      <c r="P60" s="29">
        <f t="shared" si="12"/>
        <v>670.8542893711606</v>
      </c>
      <c r="Q60" s="29">
        <f t="shared" si="13"/>
        <v>793.972704925477</v>
      </c>
      <c r="R60" s="29">
        <f t="shared" si="14"/>
        <v>566.8273918936881</v>
      </c>
      <c r="S60" s="29">
        <f t="shared" si="15"/>
        <v>113.9669809754302</v>
      </c>
      <c r="T60" s="76">
        <f t="shared" si="16"/>
        <v>118.8795431309556</v>
      </c>
      <c r="U60" s="29">
        <f t="shared" si="17"/>
        <v>86.41138381913721</v>
      </c>
      <c r="V60" s="29">
        <f t="shared" si="4"/>
        <v>84.75757064107296</v>
      </c>
      <c r="W60" s="29">
        <f t="shared" si="18"/>
        <v>-1.6538131780642544</v>
      </c>
      <c r="X60" s="1">
        <f t="shared" si="5"/>
        <v>85</v>
      </c>
      <c r="Y60" s="29">
        <f t="shared" si="19"/>
        <v>94.36138381913722</v>
      </c>
      <c r="Z60" s="3">
        <f t="shared" si="20"/>
        <v>1.4794060303127152</v>
      </c>
      <c r="AB60" s="3">
        <f t="shared" si="21"/>
        <v>43.68725214521966</v>
      </c>
      <c r="AC60" s="3">
        <f t="shared" si="22"/>
        <v>6</v>
      </c>
      <c r="AD60" s="29">
        <f t="shared" si="23"/>
        <v>131.061756435659</v>
      </c>
      <c r="AE60" s="29">
        <f t="shared" si="24"/>
        <v>106.55255017065085</v>
      </c>
      <c r="AG60" s="29">
        <f t="shared" si="6"/>
        <v>104.78103171621642</v>
      </c>
    </row>
    <row r="61" spans="2:33" ht="12.75">
      <c r="B61" s="75">
        <f t="shared" si="25"/>
        <v>131.25365696122176</v>
      </c>
      <c r="C61" s="3">
        <f t="shared" si="7"/>
        <v>5.747744259685962</v>
      </c>
      <c r="D61" s="3">
        <f t="shared" si="8"/>
        <v>0.08232681167866795</v>
      </c>
      <c r="E61" s="3">
        <f t="shared" si="9"/>
        <v>5.748333826307768</v>
      </c>
      <c r="H61" s="3">
        <f t="shared" si="0"/>
        <v>5.977115180320628</v>
      </c>
      <c r="I61" s="3">
        <f t="shared" si="1"/>
        <v>-1.2874549566799511</v>
      </c>
      <c r="J61" s="3">
        <f t="shared" si="10"/>
        <v>6.114200368347366</v>
      </c>
      <c r="L61" s="28">
        <f t="shared" si="2"/>
        <v>0.06651144798612472</v>
      </c>
      <c r="M61" s="28"/>
      <c r="N61" s="3">
        <f t="shared" si="3"/>
        <v>120.28004564971911</v>
      </c>
      <c r="O61" s="3">
        <f t="shared" si="11"/>
        <v>19.67224467689961</v>
      </c>
      <c r="P61" s="29">
        <f t="shared" si="12"/>
        <v>1183.0892438849644</v>
      </c>
      <c r="Q61" s="29">
        <f t="shared" si="13"/>
        <v>1547.9888425112201</v>
      </c>
      <c r="R61" s="29">
        <f t="shared" si="14"/>
        <v>904.2055863436572</v>
      </c>
      <c r="S61" s="29">
        <f t="shared" si="15"/>
        <v>115.68715237922436</v>
      </c>
      <c r="T61" s="76">
        <f t="shared" si="16"/>
        <v>131.25365696122176</v>
      </c>
      <c r="U61" s="29">
        <f t="shared" si="17"/>
        <v>86.10339165770388</v>
      </c>
      <c r="V61" s="29">
        <f t="shared" si="4"/>
        <v>84.80063096178102</v>
      </c>
      <c r="W61" s="29">
        <f t="shared" si="18"/>
        <v>-1.3027606959228564</v>
      </c>
      <c r="X61" s="1">
        <f t="shared" si="5"/>
        <v>85</v>
      </c>
      <c r="Y61" s="29">
        <f t="shared" si="19"/>
        <v>94.05339165770388</v>
      </c>
      <c r="Z61" s="3">
        <f t="shared" si="20"/>
        <v>1.6355368482474093</v>
      </c>
      <c r="AB61" s="3">
        <f t="shared" si="21"/>
        <v>43.68725214521966</v>
      </c>
      <c r="AC61" s="3">
        <f t="shared" si="22"/>
        <v>6</v>
      </c>
      <c r="AD61" s="29">
        <f t="shared" si="23"/>
        <v>131.061756435659</v>
      </c>
      <c r="AE61" s="29">
        <f t="shared" si="24"/>
        <v>105.37309903937783</v>
      </c>
      <c r="AG61" s="29">
        <f t="shared" si="6"/>
        <v>104.4616662868405</v>
      </c>
    </row>
    <row r="62" spans="2:33" ht="12.75">
      <c r="B62" s="75">
        <f t="shared" si="25"/>
        <v>144.91578628222473</v>
      </c>
      <c r="C62" s="3">
        <f t="shared" si="7"/>
        <v>5.7183321759477606</v>
      </c>
      <c r="D62" s="3">
        <f t="shared" si="8"/>
        <v>0.6421252553160541</v>
      </c>
      <c r="E62" s="3">
        <f t="shared" si="9"/>
        <v>5.754272127558286</v>
      </c>
      <c r="H62" s="3">
        <f t="shared" si="0"/>
        <v>5.849732569783155</v>
      </c>
      <c r="I62" s="3">
        <f t="shared" si="1"/>
        <v>-0.26245708616764407</v>
      </c>
      <c r="J62" s="3">
        <f t="shared" si="10"/>
        <v>5.855617376507916</v>
      </c>
      <c r="L62" s="28">
        <f t="shared" si="2"/>
        <v>0.0526565624330584</v>
      </c>
      <c r="M62" s="28"/>
      <c r="N62" s="3">
        <f t="shared" si="3"/>
        <v>151.9278819267835</v>
      </c>
      <c r="O62" s="3">
        <f t="shared" si="11"/>
        <v>25.94566416451683</v>
      </c>
      <c r="P62" s="29">
        <f t="shared" si="12"/>
        <v>1970.9349008493455</v>
      </c>
      <c r="Q62" s="29">
        <f t="shared" si="13"/>
        <v>2692.7099557515717</v>
      </c>
      <c r="R62" s="29">
        <f t="shared" si="14"/>
        <v>1442.6300816724167</v>
      </c>
      <c r="S62" s="29">
        <f t="shared" si="15"/>
        <v>117.40732378301854</v>
      </c>
      <c r="T62" s="76">
        <f t="shared" si="16"/>
        <v>144.91578628222473</v>
      </c>
      <c r="U62" s="29">
        <f t="shared" si="17"/>
        <v>85.79468508163335</v>
      </c>
      <c r="V62" s="29">
        <f t="shared" si="4"/>
        <v>84.83611495114235</v>
      </c>
      <c r="W62" s="29">
        <f t="shared" si="18"/>
        <v>-0.9585701304909975</v>
      </c>
      <c r="X62" s="1">
        <f t="shared" si="5"/>
        <v>85</v>
      </c>
      <c r="Y62" s="29">
        <f t="shared" si="19"/>
        <v>93.74468508163335</v>
      </c>
      <c r="Z62" s="3">
        <f t="shared" si="20"/>
        <v>1.707761856182558</v>
      </c>
      <c r="AB62" s="3">
        <f t="shared" si="21"/>
        <v>43.68725214521966</v>
      </c>
      <c r="AC62" s="3">
        <f t="shared" si="22"/>
        <v>6</v>
      </c>
      <c r="AD62" s="29">
        <f t="shared" si="23"/>
        <v>131.061756435659</v>
      </c>
      <c r="AE62" s="29">
        <f t="shared" si="24"/>
        <v>104.6890529433445</v>
      </c>
      <c r="AG62" s="29">
        <f t="shared" si="6"/>
        <v>104.63770589270425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6"/>
  <sheetViews>
    <sheetView showGridLines="0" zoomScale="75" zoomScaleNormal="75" workbookViewId="0" topLeftCell="A2">
      <selection activeCell="M29" sqref="M29"/>
    </sheetView>
  </sheetViews>
  <sheetFormatPr defaultColWidth="9.140625" defaultRowHeight="12.75"/>
  <cols>
    <col min="1" max="1" width="3.8515625" style="0" customWidth="1"/>
    <col min="2" max="2" width="9.140625" style="52" customWidth="1"/>
    <col min="3" max="3" width="9.140625" style="1" customWidth="1"/>
    <col min="6" max="6" width="9.140625" style="52" customWidth="1"/>
    <col min="7" max="7" width="12.421875" style="1" bestFit="1" customWidth="1"/>
  </cols>
  <sheetData>
    <row r="2" spans="2:13" ht="12.75">
      <c r="B2" s="59" t="s">
        <v>134</v>
      </c>
      <c r="J2" s="37" t="s">
        <v>120</v>
      </c>
      <c r="M2" s="38" t="s">
        <v>121</v>
      </c>
    </row>
    <row r="3" ht="12.75">
      <c r="B3" s="2" t="s">
        <v>123</v>
      </c>
    </row>
    <row r="4" ht="12.75">
      <c r="B4" s="2"/>
    </row>
    <row r="5" ht="12.75">
      <c r="B5" s="24" t="s">
        <v>110</v>
      </c>
    </row>
    <row r="6" spans="2:4" ht="12.75">
      <c r="B6" s="4" t="s">
        <v>99</v>
      </c>
      <c r="C6" s="5">
        <v>3.5</v>
      </c>
      <c r="D6" s="6" t="s">
        <v>12</v>
      </c>
    </row>
    <row r="7" spans="2:4" ht="12.75">
      <c r="B7" s="7" t="s">
        <v>100</v>
      </c>
      <c r="C7" s="10">
        <v>55.1</v>
      </c>
      <c r="D7" s="9" t="s">
        <v>12</v>
      </c>
    </row>
    <row r="8" spans="2:4" ht="12.75">
      <c r="B8" s="7" t="s">
        <v>101</v>
      </c>
      <c r="C8" s="16">
        <f>SQRT(C6*C7)</f>
        <v>13.887044321957067</v>
      </c>
      <c r="D8" s="9" t="s">
        <v>12</v>
      </c>
    </row>
    <row r="9" spans="2:4" ht="12.75">
      <c r="B9" s="7" t="s">
        <v>102</v>
      </c>
      <c r="C9" s="10">
        <v>26.9</v>
      </c>
      <c r="D9" s="9" t="s">
        <v>14</v>
      </c>
    </row>
    <row r="10" spans="2:4" ht="12.75">
      <c r="B10" s="7" t="s">
        <v>103</v>
      </c>
      <c r="C10" s="10">
        <v>48.8</v>
      </c>
      <c r="D10" s="9" t="s">
        <v>14</v>
      </c>
    </row>
    <row r="11" spans="2:4" ht="12.75">
      <c r="B11" s="7" t="s">
        <v>105</v>
      </c>
      <c r="C11" s="16">
        <f>SQRT(C9*C10)</f>
        <v>36.23147802671042</v>
      </c>
      <c r="D11" s="9" t="s">
        <v>14</v>
      </c>
    </row>
    <row r="12" spans="2:4" ht="12.75">
      <c r="B12" s="7" t="s">
        <v>93</v>
      </c>
      <c r="C12" s="11">
        <f>C11*SQRT(C6/C7)/(C10-C9)</f>
        <v>0.41696553481585263</v>
      </c>
      <c r="D12" s="9" t="s">
        <v>57</v>
      </c>
    </row>
    <row r="13" spans="2:4" ht="12.75">
      <c r="B13" s="12" t="s">
        <v>104</v>
      </c>
      <c r="C13" s="55">
        <v>37.1</v>
      </c>
      <c r="D13" s="14" t="s">
        <v>14</v>
      </c>
    </row>
    <row r="14" spans="2:4" ht="12.75">
      <c r="B14" s="52" t="s">
        <v>57</v>
      </c>
      <c r="C14" s="53" t="s">
        <v>57</v>
      </c>
      <c r="D14" t="s">
        <v>57</v>
      </c>
    </row>
    <row r="15" spans="2:3" ht="12.75">
      <c r="B15" t="s">
        <v>106</v>
      </c>
      <c r="C15"/>
    </row>
    <row r="16" spans="2:4" ht="12.75">
      <c r="B16" s="4" t="s">
        <v>37</v>
      </c>
      <c r="C16" s="35">
        <f>(C11/(2*C12))*(1-SQRT(1-(2*C12)^2))</f>
        <v>19.469789441120625</v>
      </c>
      <c r="D16" s="6" t="s">
        <v>14</v>
      </c>
    </row>
    <row r="17" spans="2:4" ht="12.75">
      <c r="B17" s="12" t="s">
        <v>38</v>
      </c>
      <c r="C17" s="13">
        <f>(C11/(2*C12))*(1+SQRT(1-(2*C12)^2))</f>
        <v>67.4234307448393</v>
      </c>
      <c r="D17" s="14" t="s">
        <v>14</v>
      </c>
    </row>
    <row r="18" spans="2:3" ht="12.75">
      <c r="B18"/>
      <c r="C18" s="36"/>
    </row>
    <row r="19" spans="2:3" ht="12.75">
      <c r="B19" t="s">
        <v>109</v>
      </c>
      <c r="C19" s="36"/>
    </row>
    <row r="20" spans="2:4" ht="12.75">
      <c r="B20" s="4" t="s">
        <v>39</v>
      </c>
      <c r="C20" s="35">
        <f>C11/(2*C12)</f>
        <v>43.44661009297996</v>
      </c>
      <c r="D20" s="6" t="s">
        <v>14</v>
      </c>
    </row>
    <row r="21" spans="2:4" ht="12.75">
      <c r="B21" s="27" t="s">
        <v>44</v>
      </c>
      <c r="C21" s="13" t="e">
        <f>C20*SQRT(-1+(2*C12)^2)</f>
        <v>#NUM!</v>
      </c>
      <c r="D21" s="14" t="s">
        <v>14</v>
      </c>
    </row>
    <row r="23" spans="1:2" ht="12.75">
      <c r="A23" s="20" t="s">
        <v>57</v>
      </c>
      <c r="B23" t="s">
        <v>122</v>
      </c>
    </row>
    <row r="24" spans="1:4" ht="12.75">
      <c r="A24" s="20"/>
      <c r="B24" s="4" t="s">
        <v>118</v>
      </c>
      <c r="C24" s="5">
        <v>10</v>
      </c>
      <c r="D24" s="6" t="s">
        <v>14</v>
      </c>
    </row>
    <row r="25" spans="1:4" ht="12.75">
      <c r="A25" s="20"/>
      <c r="B25" s="12" t="s">
        <v>119</v>
      </c>
      <c r="C25" s="22">
        <v>8</v>
      </c>
      <c r="D25" s="14" t="s">
        <v>112</v>
      </c>
    </row>
    <row r="28" spans="2:9" ht="12.75">
      <c r="B28" t="s">
        <v>117</v>
      </c>
      <c r="H28" s="24" t="s">
        <v>136</v>
      </c>
      <c r="I28" s="1"/>
    </row>
    <row r="29" spans="2:10" ht="12.75">
      <c r="B29" s="4" t="s">
        <v>111</v>
      </c>
      <c r="C29" s="25" t="s">
        <v>113</v>
      </c>
      <c r="D29" s="25" t="s">
        <v>114</v>
      </c>
      <c r="E29" s="25" t="s">
        <v>115</v>
      </c>
      <c r="F29" s="58" t="s">
        <v>116</v>
      </c>
      <c r="H29" s="4" t="s">
        <v>0</v>
      </c>
      <c r="I29" s="25">
        <f>C6</f>
        <v>3.5</v>
      </c>
      <c r="J29" s="6" t="s">
        <v>12</v>
      </c>
    </row>
    <row r="30" spans="2:10" ht="12.75">
      <c r="B30" s="12" t="s">
        <v>14</v>
      </c>
      <c r="C30" s="30" t="s">
        <v>12</v>
      </c>
      <c r="D30" s="30" t="s">
        <v>12</v>
      </c>
      <c r="E30" s="30" t="s">
        <v>12</v>
      </c>
      <c r="F30" s="43" t="s">
        <v>12</v>
      </c>
      <c r="H30" s="7" t="s">
        <v>1</v>
      </c>
      <c r="I30" s="54" t="s">
        <v>108</v>
      </c>
      <c r="J30" s="9" t="s">
        <v>13</v>
      </c>
    </row>
    <row r="31" spans="2:10" ht="12.75">
      <c r="B31" s="57">
        <f>C$24</f>
        <v>10</v>
      </c>
      <c r="C31" s="3">
        <f aca="true" t="shared" si="0" ref="C31:C66">$C$6*SQRT(((1+$I$34/$I$35)^2+($I$34^2)*(B31/$C$11-$C$11/B31)^2)/(1+($I$34^2)*(B31/$C$11-$C$11/B31)^2))</f>
        <v>4.301249944925693</v>
      </c>
      <c r="D31" s="1">
        <f>$C$6</f>
        <v>3.5</v>
      </c>
      <c r="E31" s="1">
        <f>$C$7</f>
        <v>55.1</v>
      </c>
      <c r="F31" s="3">
        <f>$C$8</f>
        <v>13.887044321957067</v>
      </c>
      <c r="H31" s="7" t="s">
        <v>20</v>
      </c>
      <c r="I31" s="51">
        <f>1000000000/(I32*(2*PI()*C11)^2)</f>
        <v>558.8150479567614</v>
      </c>
      <c r="J31" s="9" t="s">
        <v>24</v>
      </c>
    </row>
    <row r="32" spans="2:10" ht="12.75">
      <c r="B32" s="56">
        <f aca="true" t="shared" si="1" ref="B32:B66">B31*(1+C$25/100)</f>
        <v>10.8</v>
      </c>
      <c r="C32" s="3">
        <f t="shared" si="0"/>
        <v>4.443204574503116</v>
      </c>
      <c r="D32" s="1">
        <f aca="true" t="shared" si="2" ref="D32:D66">$C$6</f>
        <v>3.5</v>
      </c>
      <c r="E32" s="1">
        <f aca="true" t="shared" si="3" ref="E32:E66">$C$7</f>
        <v>55.1</v>
      </c>
      <c r="F32" s="3">
        <f aca="true" t="shared" si="4" ref="F32:F66">$C$8</f>
        <v>13.887044321957067</v>
      </c>
      <c r="H32" s="7" t="s">
        <v>19</v>
      </c>
      <c r="I32" s="51">
        <f>1000*(C6*I33/(C6+I33))/(C12*2*PI()*C11)</f>
        <v>34.530277525017226</v>
      </c>
      <c r="J32" s="9" t="s">
        <v>13</v>
      </c>
    </row>
    <row r="33" spans="2:10" ht="12.75">
      <c r="B33" s="56">
        <f t="shared" si="1"/>
        <v>11.664000000000001</v>
      </c>
      <c r="C33" s="3">
        <f t="shared" si="0"/>
        <v>4.612463865548639</v>
      </c>
      <c r="D33" s="1">
        <f t="shared" si="2"/>
        <v>3.5</v>
      </c>
      <c r="E33" s="1">
        <f t="shared" si="3"/>
        <v>55.1</v>
      </c>
      <c r="F33" s="3">
        <f t="shared" si="4"/>
        <v>13.887044321957067</v>
      </c>
      <c r="H33" s="7" t="s">
        <v>21</v>
      </c>
      <c r="I33" s="51">
        <f>C7-C6</f>
        <v>51.6</v>
      </c>
      <c r="J33" s="9" t="s">
        <v>12</v>
      </c>
    </row>
    <row r="34" spans="2:10" ht="12.75">
      <c r="B34" s="56">
        <f t="shared" si="1"/>
        <v>12.597120000000002</v>
      </c>
      <c r="C34" s="3">
        <f t="shared" si="0"/>
        <v>4.815252937694785</v>
      </c>
      <c r="D34" s="1">
        <f t="shared" si="2"/>
        <v>3.5</v>
      </c>
      <c r="E34" s="1">
        <f t="shared" si="3"/>
        <v>55.1</v>
      </c>
      <c r="F34" s="3">
        <f t="shared" si="4"/>
        <v>13.887044321957067</v>
      </c>
      <c r="H34" s="7" t="s">
        <v>26</v>
      </c>
      <c r="I34" s="11">
        <f>1000*I33/(2*PI()*C11*I32)</f>
        <v>6.564228848100994</v>
      </c>
      <c r="J34" s="9"/>
    </row>
    <row r="35" spans="2:10" ht="12.75">
      <c r="B35" s="56">
        <f t="shared" si="1"/>
        <v>13.604889600000003</v>
      </c>
      <c r="C35" s="3">
        <f t="shared" si="0"/>
        <v>5.0596690112956635</v>
      </c>
      <c r="D35" s="1">
        <f t="shared" si="2"/>
        <v>3.5</v>
      </c>
      <c r="E35" s="1">
        <f t="shared" si="3"/>
        <v>55.1</v>
      </c>
      <c r="F35" s="3">
        <f t="shared" si="4"/>
        <v>13.887044321957067</v>
      </c>
      <c r="H35" s="7" t="s">
        <v>27</v>
      </c>
      <c r="I35" s="11">
        <f>1000*I29/(2*PI()*C11*I32)</f>
        <v>0.4452480807820442</v>
      </c>
      <c r="J35" s="9"/>
    </row>
    <row r="36" spans="2:10" ht="12.75">
      <c r="B36" s="56">
        <f t="shared" si="1"/>
        <v>14.693280768000005</v>
      </c>
      <c r="C36" s="3">
        <f t="shared" si="0"/>
        <v>5.356457220136988</v>
      </c>
      <c r="D36" s="1">
        <f t="shared" si="2"/>
        <v>3.5</v>
      </c>
      <c r="E36" s="1">
        <f t="shared" si="3"/>
        <v>55.1</v>
      </c>
      <c r="F36" s="3">
        <f t="shared" si="4"/>
        <v>13.887044321957067</v>
      </c>
      <c r="H36" s="12" t="s">
        <v>107</v>
      </c>
      <c r="I36" s="17">
        <f>I35*I34/(I35+I34)</f>
        <v>0.4169655348158526</v>
      </c>
      <c r="J36" s="14"/>
    </row>
    <row r="37" spans="2:6" ht="12.75">
      <c r="B37" s="56">
        <f t="shared" si="1"/>
        <v>15.868743229440007</v>
      </c>
      <c r="C37" s="3">
        <f t="shared" si="0"/>
        <v>5.7202127928590105</v>
      </c>
      <c r="D37" s="1">
        <f t="shared" si="2"/>
        <v>3.5</v>
      </c>
      <c r="E37" s="1">
        <f t="shared" si="3"/>
        <v>55.1</v>
      </c>
      <c r="F37" s="3">
        <f t="shared" si="4"/>
        <v>13.887044321957067</v>
      </c>
    </row>
    <row r="38" spans="2:6" ht="12.75">
      <c r="B38" s="56">
        <f t="shared" si="1"/>
        <v>17.13824268779521</v>
      </c>
      <c r="C38" s="3">
        <f t="shared" si="0"/>
        <v>6.171307612877153</v>
      </c>
      <c r="D38" s="1">
        <f t="shared" si="2"/>
        <v>3.5</v>
      </c>
      <c r="E38" s="1">
        <f t="shared" si="3"/>
        <v>55.1</v>
      </c>
      <c r="F38" s="3">
        <f t="shared" si="4"/>
        <v>13.887044321957067</v>
      </c>
    </row>
    <row r="39" spans="2:6" ht="12.75">
      <c r="B39" s="56">
        <f t="shared" si="1"/>
        <v>18.50930210281883</v>
      </c>
      <c r="C39" s="3">
        <f t="shared" si="0"/>
        <v>6.739100591569147</v>
      </c>
      <c r="D39" s="1">
        <f t="shared" si="2"/>
        <v>3.5</v>
      </c>
      <c r="E39" s="1">
        <f t="shared" si="3"/>
        <v>55.1</v>
      </c>
      <c r="F39" s="3">
        <f t="shared" si="4"/>
        <v>13.887044321957067</v>
      </c>
    </row>
    <row r="40" spans="2:6" ht="12.75">
      <c r="B40" s="56">
        <f t="shared" si="1"/>
        <v>19.990046271044335</v>
      </c>
      <c r="C40" s="3">
        <f t="shared" si="0"/>
        <v>7.4675397936360755</v>
      </c>
      <c r="D40" s="1">
        <f t="shared" si="2"/>
        <v>3.5</v>
      </c>
      <c r="E40" s="1">
        <f t="shared" si="3"/>
        <v>55.1</v>
      </c>
      <c r="F40" s="3">
        <f t="shared" si="4"/>
        <v>13.887044321957067</v>
      </c>
    </row>
    <row r="41" spans="2:6" ht="12.75">
      <c r="B41" s="56">
        <f t="shared" si="1"/>
        <v>21.589249972727885</v>
      </c>
      <c r="C41" s="3">
        <f t="shared" si="0"/>
        <v>8.425493599276283</v>
      </c>
      <c r="D41" s="1">
        <f t="shared" si="2"/>
        <v>3.5</v>
      </c>
      <c r="E41" s="1">
        <f t="shared" si="3"/>
        <v>55.1</v>
      </c>
      <c r="F41" s="3">
        <f t="shared" si="4"/>
        <v>13.887044321957067</v>
      </c>
    </row>
    <row r="42" spans="2:6" ht="12.75">
      <c r="B42" s="56">
        <f t="shared" si="1"/>
        <v>23.316389970546116</v>
      </c>
      <c r="C42" s="3">
        <f t="shared" si="0"/>
        <v>9.727126306300498</v>
      </c>
      <c r="D42" s="1">
        <f t="shared" si="2"/>
        <v>3.5</v>
      </c>
      <c r="E42" s="1">
        <f t="shared" si="3"/>
        <v>55.1</v>
      </c>
      <c r="F42" s="3">
        <f t="shared" si="4"/>
        <v>13.887044321957067</v>
      </c>
    </row>
    <row r="43" spans="2:6" ht="12.75">
      <c r="B43" s="56">
        <f t="shared" si="1"/>
        <v>25.181701168189807</v>
      </c>
      <c r="C43" s="3">
        <f t="shared" si="0"/>
        <v>11.575541324666911</v>
      </c>
      <c r="D43" s="1">
        <f t="shared" si="2"/>
        <v>3.5</v>
      </c>
      <c r="E43" s="1">
        <f t="shared" si="3"/>
        <v>55.1</v>
      </c>
      <c r="F43" s="3">
        <f t="shared" si="4"/>
        <v>13.887044321957067</v>
      </c>
    </row>
    <row r="44" spans="2:6" ht="12.75">
      <c r="B44" s="56">
        <f t="shared" si="1"/>
        <v>27.196237261644995</v>
      </c>
      <c r="C44" s="3">
        <f t="shared" si="0"/>
        <v>14.366248125214124</v>
      </c>
      <c r="D44" s="1">
        <f t="shared" si="2"/>
        <v>3.5</v>
      </c>
      <c r="E44" s="1">
        <f t="shared" si="3"/>
        <v>55.1</v>
      </c>
      <c r="F44" s="3">
        <f t="shared" si="4"/>
        <v>13.887044321957067</v>
      </c>
    </row>
    <row r="45" spans="2:6" ht="12.75">
      <c r="B45" s="56">
        <f t="shared" si="1"/>
        <v>29.3719362425766</v>
      </c>
      <c r="C45" s="3">
        <f t="shared" si="0"/>
        <v>18.963347457200637</v>
      </c>
      <c r="D45" s="1">
        <f t="shared" si="2"/>
        <v>3.5</v>
      </c>
      <c r="E45" s="1">
        <f t="shared" si="3"/>
        <v>55.1</v>
      </c>
      <c r="F45" s="3">
        <f t="shared" si="4"/>
        <v>13.887044321957067</v>
      </c>
    </row>
    <row r="46" spans="2:6" ht="12.75">
      <c r="B46" s="56">
        <f t="shared" si="1"/>
        <v>31.721691141982728</v>
      </c>
      <c r="C46" s="3">
        <f t="shared" si="0"/>
        <v>27.502396865902675</v>
      </c>
      <c r="D46" s="1">
        <f t="shared" si="2"/>
        <v>3.5</v>
      </c>
      <c r="E46" s="1">
        <f t="shared" si="3"/>
        <v>55.1</v>
      </c>
      <c r="F46" s="3">
        <f t="shared" si="4"/>
        <v>13.887044321957067</v>
      </c>
    </row>
    <row r="47" spans="2:6" ht="12.75">
      <c r="B47" s="56">
        <f t="shared" si="1"/>
        <v>34.259426433341346</v>
      </c>
      <c r="C47" s="3">
        <f t="shared" si="0"/>
        <v>44.44305284890295</v>
      </c>
      <c r="D47" s="1">
        <f t="shared" si="2"/>
        <v>3.5</v>
      </c>
      <c r="E47" s="1">
        <f t="shared" si="3"/>
        <v>55.1</v>
      </c>
      <c r="F47" s="3">
        <f t="shared" si="4"/>
        <v>13.887044321957067</v>
      </c>
    </row>
    <row r="48" spans="2:6" ht="12.75">
      <c r="B48" s="56">
        <f t="shared" si="1"/>
        <v>37.00018054800866</v>
      </c>
      <c r="C48" s="3">
        <f t="shared" si="0"/>
        <v>53.127082307156</v>
      </c>
      <c r="D48" s="1">
        <f t="shared" si="2"/>
        <v>3.5</v>
      </c>
      <c r="E48" s="1">
        <f t="shared" si="3"/>
        <v>55.1</v>
      </c>
      <c r="F48" s="3">
        <f t="shared" si="4"/>
        <v>13.887044321957067</v>
      </c>
    </row>
    <row r="49" spans="2:6" ht="12.75">
      <c r="B49" s="56">
        <f t="shared" si="1"/>
        <v>39.960194991849356</v>
      </c>
      <c r="C49" s="3">
        <f t="shared" si="0"/>
        <v>33.90257074753264</v>
      </c>
      <c r="D49" s="1">
        <f t="shared" si="2"/>
        <v>3.5</v>
      </c>
      <c r="E49" s="1">
        <f t="shared" si="3"/>
        <v>55.1</v>
      </c>
      <c r="F49" s="3">
        <f t="shared" si="4"/>
        <v>13.887044321957067</v>
      </c>
    </row>
    <row r="50" spans="2:6" ht="12.75">
      <c r="B50" s="56">
        <f t="shared" si="1"/>
        <v>43.157010591197306</v>
      </c>
      <c r="C50" s="3">
        <f t="shared" si="0"/>
        <v>22.13898525304725</v>
      </c>
      <c r="D50" s="1">
        <f t="shared" si="2"/>
        <v>3.5</v>
      </c>
      <c r="E50" s="1">
        <f t="shared" si="3"/>
        <v>55.1</v>
      </c>
      <c r="F50" s="3">
        <f t="shared" si="4"/>
        <v>13.887044321957067</v>
      </c>
    </row>
    <row r="51" spans="2:6" ht="12.75">
      <c r="B51" s="56">
        <f t="shared" si="1"/>
        <v>46.60957143849309</v>
      </c>
      <c r="C51" s="3">
        <f t="shared" si="0"/>
        <v>16.147850274441268</v>
      </c>
      <c r="D51" s="1">
        <f t="shared" si="2"/>
        <v>3.5</v>
      </c>
      <c r="E51" s="1">
        <f t="shared" si="3"/>
        <v>55.1</v>
      </c>
      <c r="F51" s="3">
        <f t="shared" si="4"/>
        <v>13.887044321957067</v>
      </c>
    </row>
    <row r="52" spans="2:6" ht="12.75">
      <c r="B52" s="56">
        <f t="shared" si="1"/>
        <v>50.33833715357254</v>
      </c>
      <c r="C52" s="3">
        <f t="shared" si="0"/>
        <v>12.691030798427294</v>
      </c>
      <c r="D52" s="1">
        <f t="shared" si="2"/>
        <v>3.5</v>
      </c>
      <c r="E52" s="1">
        <f t="shared" si="3"/>
        <v>55.1</v>
      </c>
      <c r="F52" s="3">
        <f t="shared" si="4"/>
        <v>13.887044321957067</v>
      </c>
    </row>
    <row r="53" spans="2:6" ht="12.75">
      <c r="B53" s="56">
        <f t="shared" si="1"/>
        <v>54.36540412585835</v>
      </c>
      <c r="C53" s="3">
        <f t="shared" si="0"/>
        <v>10.481847922456401</v>
      </c>
      <c r="D53" s="1">
        <f t="shared" si="2"/>
        <v>3.5</v>
      </c>
      <c r="E53" s="1">
        <f t="shared" si="3"/>
        <v>55.1</v>
      </c>
      <c r="F53" s="3">
        <f t="shared" si="4"/>
        <v>13.887044321957067</v>
      </c>
    </row>
    <row r="54" spans="2:6" ht="12.75">
      <c r="B54" s="56">
        <f t="shared" si="1"/>
        <v>58.71463645592702</v>
      </c>
      <c r="C54" s="3">
        <f t="shared" si="0"/>
        <v>8.96497690407081</v>
      </c>
      <c r="D54" s="1">
        <f t="shared" si="2"/>
        <v>3.5</v>
      </c>
      <c r="E54" s="1">
        <f t="shared" si="3"/>
        <v>55.1</v>
      </c>
      <c r="F54" s="3">
        <f t="shared" si="4"/>
        <v>13.887044321957067</v>
      </c>
    </row>
    <row r="55" spans="2:6" ht="12.75">
      <c r="B55" s="56">
        <f t="shared" si="1"/>
        <v>63.411807372401185</v>
      </c>
      <c r="C55" s="3">
        <f t="shared" si="0"/>
        <v>7.868921788297817</v>
      </c>
      <c r="D55" s="1">
        <f t="shared" si="2"/>
        <v>3.5</v>
      </c>
      <c r="E55" s="1">
        <f t="shared" si="3"/>
        <v>55.1</v>
      </c>
      <c r="F55" s="3">
        <f t="shared" si="4"/>
        <v>13.887044321957067</v>
      </c>
    </row>
    <row r="56" spans="2:6" ht="12.75">
      <c r="B56" s="56">
        <f t="shared" si="1"/>
        <v>68.48475196219329</v>
      </c>
      <c r="C56" s="3">
        <f t="shared" si="0"/>
        <v>7.046803123529954</v>
      </c>
      <c r="D56" s="1">
        <f t="shared" si="2"/>
        <v>3.5</v>
      </c>
      <c r="E56" s="1">
        <f t="shared" si="3"/>
        <v>55.1</v>
      </c>
      <c r="F56" s="3">
        <f t="shared" si="4"/>
        <v>13.887044321957067</v>
      </c>
    </row>
    <row r="57" spans="2:6" ht="12.75">
      <c r="B57" s="56">
        <f t="shared" si="1"/>
        <v>73.96353211916876</v>
      </c>
      <c r="C57" s="3">
        <f t="shared" si="0"/>
        <v>6.41263822586036</v>
      </c>
      <c r="D57" s="1">
        <f t="shared" si="2"/>
        <v>3.5</v>
      </c>
      <c r="E57" s="1">
        <f t="shared" si="3"/>
        <v>55.1</v>
      </c>
      <c r="F57" s="3">
        <f t="shared" si="4"/>
        <v>13.887044321957067</v>
      </c>
    </row>
    <row r="58" spans="2:6" ht="12.75">
      <c r="B58" s="56">
        <f t="shared" si="1"/>
        <v>79.88061468870227</v>
      </c>
      <c r="C58" s="3">
        <f t="shared" si="0"/>
        <v>5.912862111814325</v>
      </c>
      <c r="D58" s="1">
        <f t="shared" si="2"/>
        <v>3.5</v>
      </c>
      <c r="E58" s="1">
        <f t="shared" si="3"/>
        <v>55.1</v>
      </c>
      <c r="F58" s="3">
        <f t="shared" si="4"/>
        <v>13.887044321957067</v>
      </c>
    </row>
    <row r="59" spans="2:6" ht="12.75">
      <c r="B59" s="56">
        <f t="shared" si="1"/>
        <v>86.27106386379846</v>
      </c>
      <c r="C59" s="3">
        <f t="shared" si="0"/>
        <v>5.5123893492077425</v>
      </c>
      <c r="D59" s="1">
        <f t="shared" si="2"/>
        <v>3.5</v>
      </c>
      <c r="E59" s="1">
        <f t="shared" si="3"/>
        <v>55.1</v>
      </c>
      <c r="F59" s="3">
        <f t="shared" si="4"/>
        <v>13.887044321957067</v>
      </c>
    </row>
    <row r="60" spans="2:6" ht="12.75">
      <c r="B60" s="56">
        <f t="shared" si="1"/>
        <v>93.17274897290234</v>
      </c>
      <c r="C60" s="3">
        <f t="shared" si="0"/>
        <v>5.18727094847254</v>
      </c>
      <c r="D60" s="1">
        <f t="shared" si="2"/>
        <v>3.5</v>
      </c>
      <c r="E60" s="1">
        <f t="shared" si="3"/>
        <v>55.1</v>
      </c>
      <c r="F60" s="3">
        <f t="shared" si="4"/>
        <v>13.887044321957067</v>
      </c>
    </row>
    <row r="61" spans="2:6" ht="12.75">
      <c r="B61" s="56">
        <f t="shared" si="1"/>
        <v>100.62656889073453</v>
      </c>
      <c r="C61" s="3">
        <f t="shared" si="0"/>
        <v>4.920585381997691</v>
      </c>
      <c r="D61" s="1">
        <f t="shared" si="2"/>
        <v>3.5</v>
      </c>
      <c r="E61" s="1">
        <f t="shared" si="3"/>
        <v>55.1</v>
      </c>
      <c r="F61" s="3">
        <f t="shared" si="4"/>
        <v>13.887044321957067</v>
      </c>
    </row>
    <row r="62" spans="2:6" ht="12.75">
      <c r="B62" s="56">
        <f t="shared" si="1"/>
        <v>108.6766944019933</v>
      </c>
      <c r="C62" s="3">
        <f t="shared" si="0"/>
        <v>4.700021505642296</v>
      </c>
      <c r="D62" s="1">
        <f t="shared" si="2"/>
        <v>3.5</v>
      </c>
      <c r="E62" s="1">
        <f t="shared" si="3"/>
        <v>55.1</v>
      </c>
      <c r="F62" s="3">
        <f t="shared" si="4"/>
        <v>13.887044321957067</v>
      </c>
    </row>
    <row r="63" spans="2:6" ht="12.75">
      <c r="B63" s="56">
        <f t="shared" si="1"/>
        <v>117.37082995415277</v>
      </c>
      <c r="C63" s="3">
        <f t="shared" si="0"/>
        <v>4.5163956924187705</v>
      </c>
      <c r="D63" s="1">
        <f t="shared" si="2"/>
        <v>3.5</v>
      </c>
      <c r="E63" s="1">
        <f t="shared" si="3"/>
        <v>55.1</v>
      </c>
      <c r="F63" s="3">
        <f t="shared" si="4"/>
        <v>13.887044321957067</v>
      </c>
    </row>
    <row r="64" spans="2:6" ht="12.75">
      <c r="B64" s="56">
        <f t="shared" si="1"/>
        <v>126.760496350485</v>
      </c>
      <c r="C64" s="3">
        <f t="shared" si="0"/>
        <v>4.3627088376137015</v>
      </c>
      <c r="D64" s="1">
        <f t="shared" si="2"/>
        <v>3.5</v>
      </c>
      <c r="E64" s="1">
        <f t="shared" si="3"/>
        <v>55.1</v>
      </c>
      <c r="F64" s="3">
        <f t="shared" si="4"/>
        <v>13.887044321957067</v>
      </c>
    </row>
    <row r="65" spans="2:6" ht="12.75">
      <c r="B65" s="56">
        <f t="shared" si="1"/>
        <v>136.9013360585238</v>
      </c>
      <c r="C65" s="3">
        <f t="shared" si="0"/>
        <v>4.233527677624078</v>
      </c>
      <c r="D65" s="1">
        <f t="shared" si="2"/>
        <v>3.5</v>
      </c>
      <c r="E65" s="1">
        <f t="shared" si="3"/>
        <v>55.1</v>
      </c>
      <c r="F65" s="3">
        <f t="shared" si="4"/>
        <v>13.887044321957067</v>
      </c>
    </row>
    <row r="66" spans="2:6" ht="12.75">
      <c r="B66" s="56">
        <f t="shared" si="1"/>
        <v>147.85344294320572</v>
      </c>
      <c r="C66" s="3">
        <f t="shared" si="0"/>
        <v>4.124567531753699</v>
      </c>
      <c r="D66" s="1">
        <f t="shared" si="2"/>
        <v>3.5</v>
      </c>
      <c r="E66" s="1">
        <f t="shared" si="3"/>
        <v>55.1</v>
      </c>
      <c r="F66" s="3">
        <f t="shared" si="4"/>
        <v>13.887044321957067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Linkwitz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Closed box woofer</dc:title>
  <dc:subject/>
  <dc:creator>Siegfried Linkwitz</dc:creator>
  <cp:keywords/>
  <dc:description/>
  <cp:lastModifiedBy>Siegfried Linkwitz</cp:lastModifiedBy>
  <cp:lastPrinted>2006-07-27T16:25:21Z</cp:lastPrinted>
  <dcterms:created xsi:type="dcterms:W3CDTF">2001-07-16T01:21:36Z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