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1775" windowHeight="6465" tabRatio="759" activeTab="0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<sst xmlns="http://schemas.openxmlformats.org/spreadsheetml/2006/main" count="296" uniqueCount="169">
  <si>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</si>
  <si>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</si>
  <si>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</si>
  <si>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</si>
  <si>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</si>
  <si>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</si>
  <si>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</si>
  <si>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</si>
  <si>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</si>
  <si>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</si>
  <si>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</si>
  <si>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</si>
  <si>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</si>
  <si>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</si>
  <si>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</si>
  <si>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</si>
  <si>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</si>
  <si>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</si>
  <si>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</si>
  <si>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</si>
  <si>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</si>
  <si>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</si>
  <si>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</si>
  <si>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</si>
  <si>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</si>
  <si>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</si>
  <si>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</si>
  <si>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</si>
  <si>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</si>
  <si>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</si>
  <si>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</si>
  <si>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</si>
  <si>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</si>
  <si>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</si>
  <si>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</si>
  <si>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</si>
  <si>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</si>
  <si>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</si>
  <si>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</si>
  <si>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</si>
  <si>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</si>
  <si>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</si>
  <si>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</si>
  <si>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</si>
  <si>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</si>
  <si>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</si>
  <si>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</si>
  <si>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</si>
  <si>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</si>
  <si>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</si>
  <si>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</si>
  <si>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</si>
  <si>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</si>
  <si>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</si>
  <si>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</si>
  <si>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</si>
  <si>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</si>
  <si>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</si>
  <si>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</si>
  <si>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</si>
  <si>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</si>
  <si>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</si>
  <si>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</si>
  <si>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</si>
  <si>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</si>
  <si>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</si>
  <si>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</si>
  <si>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</si>
  <si>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</si>
  <si>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</si>
  <si>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</si>
  <si>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</si>
  <si>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</si>
  <si>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</si>
  <si>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</si>
  <si>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</si>
  <si>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</si>
  <si>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</si>
  <si>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</si>
  <si>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</si>
  <si>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</si>
  <si>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</si>
  <si>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</si>
  <si>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</si>
  <si>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</si>
  <si>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</si>
  <si>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</si>
  <si>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</si>
  <si>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</si>
  <si>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</si>
  <si>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</si>
  <si>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</si>
  <si>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</si>
  <si>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</si>
  <si>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</si>
  <si>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</si>
  <si>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</si>
  <si>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</si>
  <si>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</si>
  <si>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</si>
  <si>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</si>
  <si>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</si>
  <si>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</si>
  <si>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</si>
  <si>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</si>
  <si>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</si>
  <si>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</si>
  <si>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</si>
  <si>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</si>
  <si>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</si>
  <si>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</si>
  <si>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</si>
  <si>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</si>
  <si>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</si>
  <si>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</si>
  <si>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</si>
  <si>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</si>
  <si>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</si>
  <si>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</si>
  <si>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</si>
  <si>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</si>
  <si>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</si>
  <si>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</si>
  <si>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</si>
  <si>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</si>
  <si>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</si>
  <si>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</si>
  <si>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</si>
  <si>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</si>
  <si>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</si>
  <si>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</si>
  <si>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</si>
  <si>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</si>
  <si>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</si>
  <si>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</si>
  <si>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</si>
  <si>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</si>
  <si>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</si>
  <si>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</si>
  <si>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</si>
  <si>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</si>
  <si>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</si>
  <si>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</si>
  <si>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</si>
  <si>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</si>
  <si>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</si>
  <si>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</si>
  <si>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</si>
  <si>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</si>
  <si>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</si>
  <si>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Peerless 830500 - XLS 12"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</si>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</sst>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3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68.88189024324713</c:v>
                </c:pt>
                <c:pt idx="1">
                  <c:v>69.22183150296372</c:v>
                </c:pt>
                <c:pt idx="2">
                  <c:v>69.5653062990543</c:v>
                </c:pt>
                <c:pt idx="3">
                  <c:v>69.87516409014249</c:v>
                </c:pt>
                <c:pt idx="4">
                  <c:v>70.08791999985917</c:v>
                </c:pt>
                <c:pt idx="5">
                  <c:v>70.10038567668809</c:v>
                </c:pt>
                <c:pt idx="6">
                  <c:v>69.75062071647986</c:v>
                </c:pt>
                <c:pt idx="7">
                  <c:v>68.79118548371018</c:v>
                </c:pt>
                <c:pt idx="8">
                  <c:v>66.85272234730556</c:v>
                </c:pt>
                <c:pt idx="9">
                  <c:v>63.39874117155737</c:v>
                </c:pt>
                <c:pt idx="10">
                  <c:v>57.689110314332325</c:v>
                </c:pt>
                <c:pt idx="11">
                  <c:v>48.86235670894649</c:v>
                </c:pt>
                <c:pt idx="12">
                  <c:v>36.887928027132574</c:v>
                </c:pt>
                <c:pt idx="13">
                  <c:v>29.47662655448229</c:v>
                </c:pt>
                <c:pt idx="14">
                  <c:v>43.436668386072974</c:v>
                </c:pt>
                <c:pt idx="15">
                  <c:v>72.52324882943115</c:v>
                </c:pt>
                <c:pt idx="16">
                  <c:v>106.44574674540888</c:v>
                </c:pt>
                <c:pt idx="17">
                  <c:v>143.18106984112234</c:v>
                </c:pt>
                <c:pt idx="18">
                  <c:v>182.14838125060788</c:v>
                </c:pt>
                <c:pt idx="19">
                  <c:v>222.80052005564397</c:v>
                </c:pt>
                <c:pt idx="20">
                  <c:v>264.1084666710413</c:v>
                </c:pt>
                <c:pt idx="21">
                  <c:v>304.1810350733318</c:v>
                </c:pt>
                <c:pt idx="22">
                  <c:v>321.03442806029386</c:v>
                </c:pt>
                <c:pt idx="23">
                  <c:v>321.03442806029386</c:v>
                </c:pt>
                <c:pt idx="24">
                  <c:v>321.03442806029386</c:v>
                </c:pt>
                <c:pt idx="25">
                  <c:v>321.03442806029386</c:v>
                </c:pt>
                <c:pt idx="26">
                  <c:v>321.03442806029386</c:v>
                </c:pt>
                <c:pt idx="27">
                  <c:v>321.03442806029386</c:v>
                </c:pt>
              </c:numCache>
            </c:numRef>
          </c:val>
          <c:smooth val="0"/>
        </c:ser>
        <c:marker val="1"/>
        <c:axId val="61002111"/>
        <c:axId val="12148088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101.78831824707959</c:v>
                </c:pt>
                <c:pt idx="15">
                  <c:v>103.50848965087377</c:v>
                </c:pt>
                <c:pt idx="16">
                  <c:v>105.22866105466795</c:v>
                </c:pt>
                <c:pt idx="17">
                  <c:v>106.94883245846214</c:v>
                </c:pt>
                <c:pt idx="18">
                  <c:v>108.66900386225632</c:v>
                </c:pt>
                <c:pt idx="19">
                  <c:v>110.38917526605047</c:v>
                </c:pt>
                <c:pt idx="20">
                  <c:v>112.10934666984465</c:v>
                </c:pt>
                <c:pt idx="21">
                  <c:v>113.82951807363884</c:v>
                </c:pt>
                <c:pt idx="22">
                  <c:v>115.54968947743299</c:v>
                </c:pt>
                <c:pt idx="23">
                  <c:v>117.26986088122717</c:v>
                </c:pt>
                <c:pt idx="24">
                  <c:v>118.99003228502136</c:v>
                </c:pt>
                <c:pt idx="25">
                  <c:v>120.71020368881554</c:v>
                </c:pt>
                <c:pt idx="26">
                  <c:v>122.43037509260972</c:v>
                </c:pt>
                <c:pt idx="27">
                  <c:v>124.1505464964039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99.99331461500711</c:v>
                </c:pt>
                <c:pt idx="14">
                  <c:v>100.82883344298578</c:v>
                </c:pt>
                <c:pt idx="15">
                  <c:v>101.61014062444494</c:v>
                </c:pt>
                <c:pt idx="16">
                  <c:v>102.33713523020015</c:v>
                </c:pt>
                <c:pt idx="17">
                  <c:v>103.00973633965245</c:v>
                </c:pt>
                <c:pt idx="18">
                  <c:v>103.62800441838978</c:v>
                </c:pt>
                <c:pt idx="19">
                  <c:v>104.19228196371711</c:v>
                </c:pt>
                <c:pt idx="20">
                  <c:v>104.70332841244077</c:v>
                </c:pt>
                <c:pt idx="21">
                  <c:v>105.16242500669128</c:v>
                </c:pt>
                <c:pt idx="22">
                  <c:v>105.07129904583894</c:v>
                </c:pt>
                <c:pt idx="23">
                  <c:v>104.74639928670283</c:v>
                </c:pt>
                <c:pt idx="24">
                  <c:v>104.68043087290451</c:v>
                </c:pt>
                <c:pt idx="25">
                  <c:v>104.87771928955033</c:v>
                </c:pt>
                <c:pt idx="26">
                  <c:v>105.31410002129559</c:v>
                </c:pt>
                <c:pt idx="27">
                  <c:v>105.9430773531879</c:v>
                </c:pt>
              </c:numCache>
            </c:numRef>
          </c:val>
          <c:smooth val="0"/>
        </c:ser>
        <c:marker val="1"/>
        <c:axId val="42223929"/>
        <c:axId val="44471042"/>
      </c:lineChart>
      <c:catAx>
        <c:axId val="6100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02111"/>
        <c:crossesAt val="1"/>
        <c:crossBetween val="between"/>
        <c:dispUnits/>
      </c:valAx>
      <c:catAx>
        <c:axId val="42223929"/>
        <c:scaling>
          <c:orientation val="minMax"/>
        </c:scaling>
        <c:axPos val="b"/>
        <c:delete val="1"/>
        <c:majorTickMark val="in"/>
        <c:minorTickMark val="none"/>
        <c:tickLblPos val="nextTo"/>
        <c:crossAx val="44471042"/>
        <c:crosses val="autoZero"/>
        <c:auto val="1"/>
        <c:lblOffset val="100"/>
        <c:noMultiLvlLbl val="0"/>
      </c:catAx>
      <c:valAx>
        <c:axId val="44471042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22239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24.927282485933446</c:v>
                </c:pt>
                <c:pt idx="1">
                  <c:v>25.608783586108906</c:v>
                </c:pt>
                <c:pt idx="2">
                  <c:v>26.422313932566823</c:v>
                </c:pt>
                <c:pt idx="3">
                  <c:v>27.39072249463267</c:v>
                </c:pt>
                <c:pt idx="4">
                  <c:v>28.54016890429121</c:v>
                </c:pt>
                <c:pt idx="5">
                  <c:v>29.900586176552384</c:v>
                </c:pt>
                <c:pt idx="6">
                  <c:v>31.506290522043574</c:v>
                </c:pt>
                <c:pt idx="7">
                  <c:v>33.396805877246365</c:v>
                </c:pt>
                <c:pt idx="8">
                  <c:v>35.61798546760905</c:v>
                </c:pt>
                <c:pt idx="9">
                  <c:v>38.22352561600875</c:v>
                </c:pt>
                <c:pt idx="10">
                  <c:v>41.27697821159108</c:v>
                </c:pt>
                <c:pt idx="11">
                  <c:v>44.854378782141836</c:v>
                </c:pt>
                <c:pt idx="12">
                  <c:v>49.04761845723439</c:v>
                </c:pt>
                <c:pt idx="13">
                  <c:v>53.96870164367659</c:v>
                </c:pt>
                <c:pt idx="14">
                  <c:v>59.755047905560325</c:v>
                </c:pt>
                <c:pt idx="15">
                  <c:v>66.57601710419247</c:v>
                </c:pt>
                <c:pt idx="16">
                  <c:v>74.64086262747774</c:v>
                </c:pt>
                <c:pt idx="17">
                  <c:v>84.20835133467854</c:v>
                </c:pt>
                <c:pt idx="18">
                  <c:v>95.59833554962543</c:v>
                </c:pt>
                <c:pt idx="19">
                  <c:v>109.20562879416413</c:v>
                </c:pt>
                <c:pt idx="20">
                  <c:v>125.51663035380227</c:v>
                </c:pt>
                <c:pt idx="21">
                  <c:v>145.12927042898497</c:v>
                </c:pt>
                <c:pt idx="22">
                  <c:v>168.77701104864545</c:v>
                </c:pt>
                <c:pt idx="23">
                  <c:v>197.35783864098366</c:v>
                </c:pt>
                <c:pt idx="24">
                  <c:v>231.9694213099096</c:v>
                </c:pt>
                <c:pt idx="25">
                  <c:v>273.951878125025</c:v>
                </c:pt>
                <c:pt idx="26">
                  <c:v>324.93992428197384</c:v>
                </c:pt>
                <c:pt idx="27">
                  <c:v>386.92652625981196</c:v>
                </c:pt>
              </c:numCache>
            </c:numRef>
          </c:val>
          <c:smooth val="0"/>
        </c:ser>
        <c:marker val="1"/>
        <c:axId val="64695059"/>
        <c:axId val="45384620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5.5266265211314085</c:v>
                </c:pt>
                <c:pt idx="1">
                  <c:v>5.406100705268332</c:v>
                </c:pt>
                <c:pt idx="2">
                  <c:v>5.265648305942772</c:v>
                </c:pt>
                <c:pt idx="3">
                  <c:v>5.102104488396378</c:v>
                </c:pt>
                <c:pt idx="4">
                  <c:v>4.911528045604591</c:v>
                </c:pt>
                <c:pt idx="5">
                  <c:v>4.688897084677211</c:v>
                </c:pt>
                <c:pt idx="6">
                  <c:v>4.427726626063985</c:v>
                </c:pt>
                <c:pt idx="7">
                  <c:v>4.119626633550511</c:v>
                </c:pt>
                <c:pt idx="8">
                  <c:v>3.7538744243748057</c:v>
                </c:pt>
                <c:pt idx="9">
                  <c:v>3.31726287148168</c:v>
                </c:pt>
                <c:pt idx="10">
                  <c:v>2.795219650944919</c:v>
                </c:pt>
                <c:pt idx="11">
                  <c:v>2.1787106648504238</c:v>
                </c:pt>
                <c:pt idx="12">
                  <c:v>1.504167957076077</c:v>
                </c:pt>
                <c:pt idx="13">
                  <c:v>1.1113453269040579</c:v>
                </c:pt>
                <c:pt idx="14">
                  <c:v>1.8132612658287142</c:v>
                </c:pt>
                <c:pt idx="15">
                  <c:v>3.3730621185776304</c:v>
                </c:pt>
                <c:pt idx="16">
                  <c:v>5.550527276254374</c:v>
                </c:pt>
                <c:pt idx="17">
                  <c:v>8.423062942323753</c:v>
                </c:pt>
                <c:pt idx="18">
                  <c:v>12.164798656601718</c:v>
                </c:pt>
                <c:pt idx="19">
                  <c:v>16.997713400527147</c:v>
                </c:pt>
                <c:pt idx="20">
                  <c:v>23.15863050739301</c:v>
                </c:pt>
                <c:pt idx="21">
                  <c:v>30.840145880856465</c:v>
                </c:pt>
                <c:pt idx="22">
                  <c:v>40.095973993435614</c:v>
                </c:pt>
                <c:pt idx="23">
                  <c:v>50.740451315463616</c:v>
                </c:pt>
                <c:pt idx="24">
                  <c:v>62.324860721837354</c:v>
                </c:pt>
                <c:pt idx="25">
                  <c:v>74.26863910735072</c:v>
                </c:pt>
                <c:pt idx="26">
                  <c:v>86.09838389182008</c:v>
                </c:pt>
                <c:pt idx="27">
                  <c:v>97.62357401610357</c:v>
                </c:pt>
              </c:numCache>
            </c:numRef>
          </c:val>
          <c:smooth val="0"/>
        </c:ser>
        <c:marker val="1"/>
        <c:axId val="5808397"/>
        <c:axId val="52275574"/>
      </c:lineChart>
      <c:catAx>
        <c:axId val="64695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auto val="1"/>
        <c:lblOffset val="100"/>
        <c:noMultiLvlLbl val="0"/>
      </c:catAx>
      <c:valAx>
        <c:axId val="453846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95059"/>
        <c:crossesAt val="1"/>
        <c:crossBetween val="between"/>
        <c:dispUnits/>
      </c:valAx>
      <c:catAx>
        <c:axId val="5808397"/>
        <c:scaling>
          <c:orientation val="minMax"/>
        </c:scaling>
        <c:axPos val="b"/>
        <c:delete val="1"/>
        <c:majorTickMark val="in"/>
        <c:minorTickMark val="none"/>
        <c:tickLblPos val="nextTo"/>
        <c:crossAx val="52275574"/>
        <c:crosses val="autoZero"/>
        <c:auto val="1"/>
        <c:lblOffset val="100"/>
        <c:noMultiLvlLbl val="0"/>
      </c:catAx>
      <c:valAx>
        <c:axId val="5227557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83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122.17440281629221</c:v>
                </c:pt>
                <c:pt idx="1">
                  <c:v>116.90369934201102</c:v>
                </c:pt>
                <c:pt idx="2">
                  <c:v>110.90820832751194</c:v>
                </c:pt>
                <c:pt idx="3">
                  <c:v>104.12588084205787</c:v>
                </c:pt>
                <c:pt idx="4">
                  <c:v>96.49243097104181</c:v>
                </c:pt>
                <c:pt idx="5">
                  <c:v>87.94302348277779</c:v>
                </c:pt>
                <c:pt idx="6">
                  <c:v>78.41905230062385</c:v>
                </c:pt>
                <c:pt idx="7">
                  <c:v>67.88529439943487</c:v>
                </c:pt>
                <c:pt idx="8">
                  <c:v>56.366292775901115</c:v>
                </c:pt>
                <c:pt idx="9">
                  <c:v>44.016931834043525</c:v>
                </c:pt>
                <c:pt idx="10">
                  <c:v>31.253011588114543</c:v>
                </c:pt>
                <c:pt idx="11">
                  <c:v>18.987120644531903</c:v>
                </c:pt>
                <c:pt idx="12">
                  <c:v>9.050084972377677</c:v>
                </c:pt>
                <c:pt idx="13">
                  <c:v>4.940353742525949</c:v>
                </c:pt>
                <c:pt idx="14">
                  <c:v>13.151665672619004</c:v>
                </c:pt>
                <c:pt idx="15">
                  <c:v>45.51019222313365</c:v>
                </c:pt>
                <c:pt idx="16">
                  <c:v>123.2334121777752</c:v>
                </c:pt>
                <c:pt idx="17">
                  <c:v>283.7919573213907</c:v>
                </c:pt>
                <c:pt idx="18">
                  <c:v>591.9293054226358</c:v>
                </c:pt>
                <c:pt idx="19">
                  <c:v>1155.6890433858405</c:v>
                </c:pt>
                <c:pt idx="20">
                  <c:v>2145.288667911817</c:v>
                </c:pt>
                <c:pt idx="21">
                  <c:v>3804.458391810032</c:v>
                </c:pt>
                <c:pt idx="22">
                  <c:v>6430.74852192906</c:v>
                </c:pt>
                <c:pt idx="23">
                  <c:v>10298.373598787733</c:v>
                </c:pt>
                <c:pt idx="24">
                  <c:v>15537.553055985698</c:v>
                </c:pt>
                <c:pt idx="25">
                  <c:v>22063.32301943162</c:v>
                </c:pt>
                <c:pt idx="26">
                  <c:v>29651.726835132893</c:v>
                </c:pt>
                <c:pt idx="27">
                  <c:v>38121.44881471061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38.83558825834527</c:v>
                </c:pt>
                <c:pt idx="1">
                  <c:v>40.98811229751006</c:v>
                </c:pt>
                <c:pt idx="2">
                  <c:v>43.63366709694468</c:v>
                </c:pt>
                <c:pt idx="3">
                  <c:v>46.89072992362351</c:v>
                </c:pt>
                <c:pt idx="4">
                  <c:v>50.90882756784193</c:v>
                </c:pt>
                <c:pt idx="5">
                  <c:v>55.87781585633972</c:v>
                </c:pt>
                <c:pt idx="6">
                  <c:v>62.040396403713295</c:v>
                </c:pt>
                <c:pt idx="7">
                  <c:v>69.70916517515484</c:v>
                </c:pt>
                <c:pt idx="8">
                  <c:v>79.2900555481756</c:v>
                </c:pt>
                <c:pt idx="9">
                  <c:v>91.31486940735482</c:v>
                </c:pt>
                <c:pt idx="10">
                  <c:v>106.48680814251028</c:v>
                </c:pt>
                <c:pt idx="11">
                  <c:v>125.74470599574099</c:v>
                </c:pt>
                <c:pt idx="12">
                  <c:v>150.35430477040248</c:v>
                </c:pt>
                <c:pt idx="13">
                  <c:v>182.03879731901125</c:v>
                </c:pt>
                <c:pt idx="14">
                  <c:v>223.16660938723808</c:v>
                </c:pt>
                <c:pt idx="15">
                  <c:v>277.022878341108</c:v>
                </c:pt>
                <c:pt idx="16">
                  <c:v>348.20364836087526</c:v>
                </c:pt>
                <c:pt idx="17">
                  <c:v>443.19040215654104</c:v>
                </c:pt>
                <c:pt idx="18">
                  <c:v>571.1901099911736</c:v>
                </c:pt>
                <c:pt idx="19">
                  <c:v>745.366835020548</c:v>
                </c:pt>
                <c:pt idx="20">
                  <c:v>984.6515309608149</c:v>
                </c:pt>
                <c:pt idx="21">
                  <c:v>1316.4065709530907</c:v>
                </c:pt>
                <c:pt idx="22">
                  <c:v>1780.3549661571617</c:v>
                </c:pt>
                <c:pt idx="23">
                  <c:v>2434.382279565034</c:v>
                </c:pt>
                <c:pt idx="24">
                  <c:v>3363.113276428396</c:v>
                </c:pt>
                <c:pt idx="25">
                  <c:v>4690.601970514285</c:v>
                </c:pt>
                <c:pt idx="26">
                  <c:v>6599.122149523431</c:v>
                </c:pt>
                <c:pt idx="27">
                  <c:v>9357.00854521781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68.88189024324713</c:v>
                </c:pt>
                <c:pt idx="1">
                  <c:v>69.22183150296372</c:v>
                </c:pt>
                <c:pt idx="2">
                  <c:v>69.5653062990543</c:v>
                </c:pt>
                <c:pt idx="3">
                  <c:v>69.87516409014249</c:v>
                </c:pt>
                <c:pt idx="4">
                  <c:v>70.08791999985917</c:v>
                </c:pt>
                <c:pt idx="5">
                  <c:v>70.10038567668809</c:v>
                </c:pt>
                <c:pt idx="6">
                  <c:v>69.75062071647986</c:v>
                </c:pt>
                <c:pt idx="7">
                  <c:v>68.79118548371018</c:v>
                </c:pt>
                <c:pt idx="8">
                  <c:v>66.85272234730556</c:v>
                </c:pt>
                <c:pt idx="9">
                  <c:v>63.39874117155737</c:v>
                </c:pt>
                <c:pt idx="10">
                  <c:v>57.689110314332325</c:v>
                </c:pt>
                <c:pt idx="11">
                  <c:v>48.86235670894649</c:v>
                </c:pt>
                <c:pt idx="12">
                  <c:v>36.887928027132574</c:v>
                </c:pt>
                <c:pt idx="13">
                  <c:v>29.98893218538966</c:v>
                </c:pt>
                <c:pt idx="14">
                  <c:v>54.17575690244588</c:v>
                </c:pt>
                <c:pt idx="15">
                  <c:v>112.28252064996401</c:v>
                </c:pt>
                <c:pt idx="16">
                  <c:v>207.14807196848545</c:v>
                </c:pt>
                <c:pt idx="17">
                  <c:v>354.6461217806549</c:v>
                </c:pt>
                <c:pt idx="18">
                  <c:v>581.4672519337219</c:v>
                </c:pt>
                <c:pt idx="19">
                  <c:v>928.1229899837784</c:v>
                </c:pt>
                <c:pt idx="20">
                  <c:v>1453.3966324483683</c:v>
                </c:pt>
                <c:pt idx="21">
                  <c:v>2237.9039358060822</c:v>
                </c:pt>
                <c:pt idx="22">
                  <c:v>3383.6393228481415</c:v>
                </c:pt>
                <c:pt idx="23">
                  <c:v>5007.012901643978</c:v>
                </c:pt>
                <c:pt idx="24">
                  <c:v>7228.730937432662</c:v>
                </c:pt>
                <c:pt idx="25">
                  <c:v>10173.016584624205</c:v>
                </c:pt>
                <c:pt idx="26">
                  <c:v>13988.401171304165</c:v>
                </c:pt>
                <c:pt idx="27">
                  <c:v>18886.575187559298</c:v>
                </c:pt>
              </c:numCache>
            </c:numRef>
          </c:val>
          <c:smooth val="0"/>
        </c:ser>
        <c:marker val="1"/>
        <c:axId val="718119"/>
        <c:axId val="6463072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101.78831824707959</c:v>
                </c:pt>
                <c:pt idx="15">
                  <c:v>103.50848965087377</c:v>
                </c:pt>
                <c:pt idx="16">
                  <c:v>105.22866105466795</c:v>
                </c:pt>
                <c:pt idx="17">
                  <c:v>106.94883245846214</c:v>
                </c:pt>
                <c:pt idx="18">
                  <c:v>108.66900386225632</c:v>
                </c:pt>
                <c:pt idx="19">
                  <c:v>110.38917526605047</c:v>
                </c:pt>
                <c:pt idx="20">
                  <c:v>112.10934666984465</c:v>
                </c:pt>
                <c:pt idx="21">
                  <c:v>113.82951807363884</c:v>
                </c:pt>
                <c:pt idx="22">
                  <c:v>115.54968947743299</c:v>
                </c:pt>
                <c:pt idx="23">
                  <c:v>117.26986088122717</c:v>
                </c:pt>
                <c:pt idx="24">
                  <c:v>118.99003228502136</c:v>
                </c:pt>
                <c:pt idx="25">
                  <c:v>120.71020368881554</c:v>
                </c:pt>
                <c:pt idx="26">
                  <c:v>122.43037509260972</c:v>
                </c:pt>
                <c:pt idx="27">
                  <c:v>124.1505464964039</c:v>
                </c:pt>
              </c:numCache>
            </c:numRef>
          </c:val>
          <c:smooth val="0"/>
        </c:ser>
        <c:marker val="1"/>
        <c:axId val="58167649"/>
        <c:axId val="53746794"/>
      </c:lineChart>
      <c:catAx>
        <c:axId val="71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auto val="1"/>
        <c:lblOffset val="100"/>
        <c:noMultiLvlLbl val="0"/>
      </c:catAx>
      <c:valAx>
        <c:axId val="646307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8119"/>
        <c:crossesAt val="1"/>
        <c:crossBetween val="between"/>
        <c:dispUnits/>
      </c:valAx>
      <c:catAx>
        <c:axId val="58167649"/>
        <c:scaling>
          <c:orientation val="minMax"/>
        </c:scaling>
        <c:axPos val="b"/>
        <c:delete val="1"/>
        <c:majorTickMark val="in"/>
        <c:minorTickMark val="none"/>
        <c:tickLblPos val="nextTo"/>
        <c:crossAx val="53746794"/>
        <c:crosses val="autoZero"/>
        <c:auto val="1"/>
        <c:lblOffset val="100"/>
        <c:noMultiLvlLbl val="0"/>
      </c:catAx>
      <c:valAx>
        <c:axId val="53746794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676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61.79253085125175</c:v>
                </c:pt>
                <c:pt idx="1">
                  <c:v>63.27842196081031</c:v>
                </c:pt>
                <c:pt idx="2">
                  <c:v>64.72695539999609</c:v>
                </c:pt>
                <c:pt idx="3">
                  <c:v>66.13447401009819</c:v>
                </c:pt>
                <c:pt idx="4">
                  <c:v>67.4975843928247</c:v>
                </c:pt>
                <c:pt idx="5">
                  <c:v>68.81329252860087</c:v>
                </c:pt>
                <c:pt idx="6">
                  <c:v>70.07911251324808</c:v>
                </c:pt>
                <c:pt idx="7">
                  <c:v>71.29313074023028</c:v>
                </c:pt>
                <c:pt idx="8">
                  <c:v>72.45401374030025</c:v>
                </c:pt>
                <c:pt idx="9">
                  <c:v>73.56095734163344</c:v>
                </c:pt>
                <c:pt idx="10">
                  <c:v>74.61358567295193</c:v>
                </c:pt>
                <c:pt idx="11">
                  <c:v>75.61181807483406</c:v>
                </c:pt>
                <c:pt idx="12">
                  <c:v>76.55572790821137</c:v>
                </c:pt>
                <c:pt idx="13">
                  <c:v>77.44541840454042</c:v>
                </c:pt>
                <c:pt idx="14">
                  <c:v>78.28093723251911</c:v>
                </c:pt>
                <c:pt idx="15">
                  <c:v>79.06224441397825</c:v>
                </c:pt>
                <c:pt idx="16">
                  <c:v>79.78923901973346</c:v>
                </c:pt>
                <c:pt idx="17">
                  <c:v>80.46184012918576</c:v>
                </c:pt>
                <c:pt idx="18">
                  <c:v>81.08010820792309</c:v>
                </c:pt>
                <c:pt idx="19">
                  <c:v>81.64438575325042</c:v>
                </c:pt>
                <c:pt idx="20">
                  <c:v>82.15543220197407</c:v>
                </c:pt>
                <c:pt idx="21">
                  <c:v>82.61452879622459</c:v>
                </c:pt>
                <c:pt idx="22">
                  <c:v>83.02353461118639</c:v>
                </c:pt>
                <c:pt idx="23">
                  <c:v>83.3848842379509</c:v>
                </c:pt>
                <c:pt idx="24">
                  <c:v>83.70152846731752</c:v>
                </c:pt>
                <c:pt idx="25">
                  <c:v>83.97682900915436</c:v>
                </c:pt>
                <c:pt idx="26">
                  <c:v>84.2144245575198</c:v>
                </c:pt>
                <c:pt idx="27">
                  <c:v>84.41808737250643</c:v>
                </c:pt>
              </c:numCache>
            </c:numRef>
          </c:val>
          <c:smooth val="0"/>
        </c:ser>
        <c:marker val="1"/>
        <c:axId val="13959099"/>
        <c:axId val="58523028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4.510397507525141</c:v>
                </c:pt>
                <c:pt idx="1">
                  <c:v>4.737015638860137</c:v>
                </c:pt>
                <c:pt idx="2">
                  <c:v>5.017865303071379</c:v>
                </c:pt>
                <c:pt idx="3">
                  <c:v>5.36851461135829</c:v>
                </c:pt>
                <c:pt idx="4">
                  <c:v>5.810853290318129</c:v>
                </c:pt>
                <c:pt idx="5">
                  <c:v>6.376891118865488</c:v>
                </c:pt>
                <c:pt idx="6">
                  <c:v>7.115681066798606</c:v>
                </c:pt>
                <c:pt idx="7">
                  <c:v>8.106755501884704</c:v>
                </c:pt>
                <c:pt idx="8">
                  <c:v>9.48832631063334</c:v>
                </c:pt>
                <c:pt idx="9">
                  <c:v>11.522609783087805</c:v>
                </c:pt>
                <c:pt idx="10">
                  <c:v>14.766989133622278</c:v>
                </c:pt>
                <c:pt idx="11">
                  <c:v>20.58757939077755</c:v>
                </c:pt>
                <c:pt idx="12">
                  <c:v>32.607807011510275</c:v>
                </c:pt>
                <c:pt idx="13">
                  <c:v>48.561594976082255</c:v>
                </c:pt>
                <c:pt idx="14">
                  <c:v>32.954461131253744</c:v>
                </c:pt>
                <c:pt idx="15">
                  <c:v>19.73756034243051</c:v>
                </c:pt>
                <c:pt idx="16">
                  <c:v>13.447526498391907</c:v>
                </c:pt>
                <c:pt idx="17">
                  <c:v>9.997355108383786</c:v>
                </c:pt>
                <c:pt idx="18">
                  <c:v>7.8586040137824344</c:v>
                </c:pt>
                <c:pt idx="19">
                  <c:v>6.424724680366558</c:v>
                </c:pt>
                <c:pt idx="20">
                  <c:v>5.4198641112967865</c:v>
                </c:pt>
                <c:pt idx="21">
                  <c:v>4.70585551020599</c:v>
                </c:pt>
                <c:pt idx="22">
                  <c:v>4.2093256314531</c:v>
                </c:pt>
                <c:pt idx="23">
                  <c:v>3.8895562322449635</c:v>
                </c:pt>
                <c:pt idx="24">
                  <c:v>3.721940468430638</c:v>
                </c:pt>
                <c:pt idx="25">
                  <c:v>3.688661612999863</c:v>
                </c:pt>
                <c:pt idx="26">
                  <c:v>3.7740536998958154</c:v>
                </c:pt>
                <c:pt idx="27">
                  <c:v>3.9634538087694495</c:v>
                </c:pt>
              </c:numCache>
            </c:numRef>
          </c:val>
          <c:smooth val="0"/>
        </c:ser>
        <c:marker val="1"/>
        <c:axId val="56945205"/>
        <c:axId val="42744798"/>
      </c:lineChart>
      <c:catAx>
        <c:axId val="1395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59099"/>
        <c:crossesAt val="1"/>
        <c:crossBetween val="between"/>
        <c:dispUnits/>
        <c:majorUnit val="3"/>
      </c:valAx>
      <c:catAx>
        <c:axId val="56945205"/>
        <c:scaling>
          <c:orientation val="minMax"/>
        </c:scaling>
        <c:axPos val="b"/>
        <c:delete val="1"/>
        <c:majorTickMark val="in"/>
        <c:minorTickMark val="none"/>
        <c:tickLblPos val="nextTo"/>
        <c:crossAx val="42744798"/>
        <c:crosses val="autoZero"/>
        <c:auto val="1"/>
        <c:lblOffset val="100"/>
        <c:noMultiLvlLbl val="0"/>
      </c:catAx>
      <c:valAx>
        <c:axId val="42744798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945205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69.78091833711022</c:v>
                </c:pt>
                <c:pt idx="1">
                  <c:v>71.2727898487681</c:v>
                </c:pt>
                <c:pt idx="2">
                  <c:v>72.72779905062744</c:v>
                </c:pt>
                <c:pt idx="3">
                  <c:v>74.14219358135998</c:v>
                </c:pt>
                <c:pt idx="4">
                  <c:v>75.51244511536213</c:v>
                </c:pt>
                <c:pt idx="5">
                  <c:v>76.8353874688206</c:v>
                </c:pt>
                <c:pt idx="6">
                  <c:v>78.10833225458894</c:v>
                </c:pt>
                <c:pt idx="7">
                  <c:v>79.32914397289227</c:v>
                </c:pt>
                <c:pt idx="8">
                  <c:v>80.49626146399636</c:v>
                </c:pt>
                <c:pt idx="9">
                  <c:v>81.60866155177975</c:v>
                </c:pt>
                <c:pt idx="10">
                  <c:v>82.66577152338931</c:v>
                </c:pt>
                <c:pt idx="11">
                  <c:v>83.66734709996533</c:v>
                </c:pt>
                <c:pt idx="12">
                  <c:v>84.61333924567896</c:v>
                </c:pt>
                <c:pt idx="13">
                  <c:v>85.50377506718335</c:v>
                </c:pt>
                <c:pt idx="14">
                  <c:v>86.33867503632656</c:v>
                </c:pt>
                <c:pt idx="15">
                  <c:v>87.11802175476544</c:v>
                </c:pt>
                <c:pt idx="16">
                  <c:v>87.84178594903416</c:v>
                </c:pt>
                <c:pt idx="17">
                  <c:v>88.51000496399676</c:v>
                </c:pt>
                <c:pt idx="18">
                  <c:v>89.12289934083498</c:v>
                </c:pt>
                <c:pt idx="19">
                  <c:v>89.68100575077251</c:v>
                </c:pt>
                <c:pt idx="20">
                  <c:v>90.18530111348322</c:v>
                </c:pt>
                <c:pt idx="21">
                  <c:v>90.6372941621848</c:v>
                </c:pt>
                <c:pt idx="22">
                  <c:v>91.03906700619014</c:v>
                </c:pt>
                <c:pt idx="23">
                  <c:v>91.39325903772591</c:v>
                </c:pt>
                <c:pt idx="24">
                  <c:v>91.70299639010106</c:v>
                </c:pt>
                <c:pt idx="25">
                  <c:v>91.97177933536291</c:v>
                </c:pt>
                <c:pt idx="26">
                  <c:v>92.20334545500269</c:v>
                </c:pt>
                <c:pt idx="27">
                  <c:v>92.40152742076572</c:v>
                </c:pt>
              </c:numCache>
            </c:numRef>
          </c:val>
          <c:smooth val="0"/>
        </c:ser>
        <c:marker val="1"/>
        <c:axId val="49158863"/>
        <c:axId val="39776584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2.225263437890062</c:v>
                </c:pt>
                <c:pt idx="1">
                  <c:v>2.119829580167884</c:v>
                </c:pt>
                <c:pt idx="2">
                  <c:v>2.0021566640779627</c:v>
                </c:pt>
                <c:pt idx="3">
                  <c:v>1.8722571706391935</c:v>
                </c:pt>
                <c:pt idx="4">
                  <c:v>1.7304477873187007</c:v>
                </c:pt>
                <c:pt idx="5">
                  <c:v>1.577327901494816</c:v>
                </c:pt>
                <c:pt idx="6">
                  <c:v>1.413727408077032</c:v>
                </c:pt>
                <c:pt idx="7">
                  <c:v>1.2406349321684167</c:v>
                </c:pt>
                <c:pt idx="8">
                  <c:v>1.05913185442508</c:v>
                </c:pt>
                <c:pt idx="9">
                  <c:v>0.8703879744202819</c:v>
                </c:pt>
                <c:pt idx="10">
                  <c:v>0.6758774019057028</c:v>
                </c:pt>
                <c:pt idx="11">
                  <c:v>0.47846875338568157</c:v>
                </c:pt>
                <c:pt idx="12">
                  <c:v>0.2885654936365003</c:v>
                </c:pt>
                <c:pt idx="13">
                  <c:v>0.1727447975019612</c:v>
                </c:pt>
                <c:pt idx="14">
                  <c:v>0.2834139162170025</c:v>
                </c:pt>
                <c:pt idx="15">
                  <c:v>0.49901488494737173</c:v>
                </c:pt>
                <c:pt idx="16">
                  <c:v>0.7439506702183484</c:v>
                </c:pt>
                <c:pt idx="17">
                  <c:v>1.0070259581913494</c:v>
                </c:pt>
                <c:pt idx="18">
                  <c:v>1.2851577864536325</c:v>
                </c:pt>
                <c:pt idx="19">
                  <c:v>1.5747536142749818</c:v>
                </c:pt>
                <c:pt idx="20">
                  <c:v>1.8684363425571966</c:v>
                </c:pt>
                <c:pt idx="21">
                  <c:v>2.152448093046818</c:v>
                </c:pt>
                <c:pt idx="22">
                  <c:v>2.4053343769346793</c:v>
                </c:pt>
                <c:pt idx="23">
                  <c:v>2.6002955912866654</c:v>
                </c:pt>
                <c:pt idx="24">
                  <c:v>2.7130435224128133</c:v>
                </c:pt>
                <c:pt idx="25">
                  <c:v>2.732352483104876</c:v>
                </c:pt>
                <c:pt idx="26">
                  <c:v>2.665521751712581</c:v>
                </c:pt>
                <c:pt idx="27">
                  <c:v>2.5339969629639967</c:v>
                </c:pt>
              </c:numCache>
            </c:numRef>
          </c:val>
          <c:smooth val="0"/>
        </c:ser>
        <c:marker val="1"/>
        <c:axId val="22444937"/>
        <c:axId val="677842"/>
      </c:lineChart>
      <c:catAx>
        <c:axId val="49158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58863"/>
        <c:crossesAt val="1"/>
        <c:crossBetween val="between"/>
        <c:dispUnits/>
      </c:valAx>
      <c:catAx>
        <c:axId val="22444937"/>
        <c:scaling>
          <c:orientation val="minMax"/>
        </c:scaling>
        <c:axPos val="b"/>
        <c:delete val="1"/>
        <c:majorTickMark val="in"/>
        <c:minorTickMark val="none"/>
        <c:tickLblPos val="nextTo"/>
        <c:crossAx val="677842"/>
        <c:crosses val="autoZero"/>
        <c:auto val="1"/>
        <c:lblOffset val="100"/>
        <c:noMultiLvlLbl val="0"/>
      </c:catAx>
      <c:valAx>
        <c:axId val="67784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449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77.70591859396112</c:v>
                </c:pt>
                <c:pt idx="1">
                  <c:v>79.4260899977553</c:v>
                </c:pt>
                <c:pt idx="2">
                  <c:v>81.14626140154948</c:v>
                </c:pt>
                <c:pt idx="3">
                  <c:v>82.86643280534366</c:v>
                </c:pt>
                <c:pt idx="4">
                  <c:v>84.58660420913783</c:v>
                </c:pt>
                <c:pt idx="5">
                  <c:v>86.306775612932</c:v>
                </c:pt>
                <c:pt idx="6">
                  <c:v>88.02694701672618</c:v>
                </c:pt>
                <c:pt idx="7">
                  <c:v>89.74711842052037</c:v>
                </c:pt>
                <c:pt idx="8">
                  <c:v>91.46728982431453</c:v>
                </c:pt>
                <c:pt idx="9">
                  <c:v>93.1874612281087</c:v>
                </c:pt>
                <c:pt idx="10">
                  <c:v>94.90763263190289</c:v>
                </c:pt>
                <c:pt idx="11">
                  <c:v>96.62780403569707</c:v>
                </c:pt>
                <c:pt idx="12">
                  <c:v>98.34797543949125</c:v>
                </c:pt>
                <c:pt idx="13">
                  <c:v>100.06814684328542</c:v>
                </c:pt>
                <c:pt idx="14">
                  <c:v>100.93657124679324</c:v>
                </c:pt>
                <c:pt idx="15">
                  <c:v>101.71591796523211</c:v>
                </c:pt>
                <c:pt idx="16">
                  <c:v>102.43968215950085</c:v>
                </c:pt>
                <c:pt idx="17">
                  <c:v>103.10790117446345</c:v>
                </c:pt>
                <c:pt idx="18">
                  <c:v>103.72079555130166</c:v>
                </c:pt>
                <c:pt idx="19">
                  <c:v>104.2789019612392</c:v>
                </c:pt>
                <c:pt idx="20">
                  <c:v>104.7831973239499</c:v>
                </c:pt>
                <c:pt idx="21">
                  <c:v>105.23519037265149</c:v>
                </c:pt>
                <c:pt idx="22">
                  <c:v>105.02907179872092</c:v>
                </c:pt>
                <c:pt idx="23">
                  <c:v>104.70631860206927</c:v>
                </c:pt>
                <c:pt idx="24">
                  <c:v>104.64737513280976</c:v>
                </c:pt>
                <c:pt idx="25">
                  <c:v>104.85455880986034</c:v>
                </c:pt>
                <c:pt idx="26">
                  <c:v>105.30121479455536</c:v>
                </c:pt>
                <c:pt idx="27">
                  <c:v>105.93891957734817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54.432257592099475</c:v>
                </c:pt>
                <c:pt idx="1">
                  <c:v>57.01251469779074</c:v>
                </c:pt>
                <c:pt idx="2">
                  <c:v>59.592771803482016</c:v>
                </c:pt>
                <c:pt idx="3">
                  <c:v>62.17302890917328</c:v>
                </c:pt>
                <c:pt idx="4">
                  <c:v>64.75328601486454</c:v>
                </c:pt>
                <c:pt idx="5">
                  <c:v>67.3335431205558</c:v>
                </c:pt>
                <c:pt idx="6">
                  <c:v>69.91380022624708</c:v>
                </c:pt>
                <c:pt idx="7">
                  <c:v>72.49405733193834</c:v>
                </c:pt>
                <c:pt idx="8">
                  <c:v>75.0743144376296</c:v>
                </c:pt>
                <c:pt idx="9">
                  <c:v>77.65457154332086</c:v>
                </c:pt>
                <c:pt idx="10">
                  <c:v>80.23482864901213</c:v>
                </c:pt>
                <c:pt idx="11">
                  <c:v>82.8150857547034</c:v>
                </c:pt>
                <c:pt idx="12">
                  <c:v>85.39534286039466</c:v>
                </c:pt>
                <c:pt idx="13">
                  <c:v>87.97559996608592</c:v>
                </c:pt>
                <c:pt idx="14">
                  <c:v>89.70411007149083</c:v>
                </c:pt>
                <c:pt idx="15">
                  <c:v>91.3435424918268</c:v>
                </c:pt>
                <c:pt idx="16">
                  <c:v>92.92739238799263</c:v>
                </c:pt>
                <c:pt idx="17">
                  <c:v>94.4556971048523</c:v>
                </c:pt>
                <c:pt idx="18">
                  <c:v>95.92867718358761</c:v>
                </c:pt>
                <c:pt idx="19">
                  <c:v>97.34686929542224</c:v>
                </c:pt>
                <c:pt idx="20">
                  <c:v>98.71125036003004</c:v>
                </c:pt>
                <c:pt idx="21">
                  <c:v>100.02332911062871</c:v>
                </c:pt>
                <c:pt idx="22">
                  <c:v>100.67729623859522</c:v>
                </c:pt>
                <c:pt idx="23">
                  <c:v>101.21462874384066</c:v>
                </c:pt>
                <c:pt idx="24">
                  <c:v>102.01577097647824</c:v>
                </c:pt>
                <c:pt idx="25">
                  <c:v>103.08304035542591</c:v>
                </c:pt>
                <c:pt idx="26">
                  <c:v>104.38978204201803</c:v>
                </c:pt>
                <c:pt idx="27">
                  <c:v>105.88757252670791</c:v>
                </c:pt>
              </c:numCache>
            </c:numRef>
          </c:val>
          <c:smooth val="0"/>
        </c:ser>
        <c:marker val="1"/>
        <c:axId val="6100579"/>
        <c:axId val="54905212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5.522516134202931</c:v>
                </c:pt>
                <c:pt idx="1">
                  <c:v>5.400966750105541</c:v>
                </c:pt>
                <c:pt idx="2">
                  <c:v>5.259285204796314</c:v>
                </c:pt>
                <c:pt idx="3">
                  <c:v>5.094282349397761</c:v>
                </c:pt>
                <c:pt idx="4">
                  <c:v>4.901985279645933</c:v>
                </c:pt>
                <c:pt idx="5">
                  <c:v>4.677318468051029</c:v>
                </c:pt>
                <c:pt idx="6">
                  <c:v>4.413691395317138</c:v>
                </c:pt>
                <c:pt idx="7">
                  <c:v>4.102497035078003</c:v>
                </c:pt>
                <c:pt idx="8">
                  <c:v>3.7325617071177355</c:v>
                </c:pt>
                <c:pt idx="9">
                  <c:v>3.289716052630028</c:v>
                </c:pt>
                <c:pt idx="10">
                  <c:v>2.757188951704172</c:v>
                </c:pt>
                <c:pt idx="11">
                  <c:v>2.1202251227996127</c:v>
                </c:pt>
                <c:pt idx="12">
                  <c:v>1.3979181874122713</c:v>
                </c:pt>
                <c:pt idx="13">
                  <c:v>0.9207232577997159</c:v>
                </c:pt>
                <c:pt idx="14">
                  <c:v>1.5164270749508908</c:v>
                </c:pt>
                <c:pt idx="15">
                  <c:v>2.6700159697108807</c:v>
                </c:pt>
                <c:pt idx="16">
                  <c:v>3.9805629653103294</c:v>
                </c:pt>
                <c:pt idx="17">
                  <c:v>5.388166708830488</c:v>
                </c:pt>
                <c:pt idx="18">
                  <c:v>6.876331582356253</c:v>
                </c:pt>
                <c:pt idx="19">
                  <c:v>8.42583543157749</c:v>
                </c:pt>
                <c:pt idx="20">
                  <c:v>9.997206543331949</c:v>
                </c:pt>
                <c:pt idx="21">
                  <c:v>11.516832374679256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</c:numCache>
            </c:numRef>
          </c:val>
          <c:smooth val="0"/>
        </c:ser>
        <c:marker val="1"/>
        <c:axId val="24384861"/>
        <c:axId val="18137158"/>
      </c:lineChart>
      <c:catAx>
        <c:axId val="610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 val="autoZero"/>
        <c:auto val="1"/>
        <c:lblOffset val="100"/>
        <c:noMultiLvlLbl val="0"/>
      </c:catAx>
      <c:valAx>
        <c:axId val="54905212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0579"/>
        <c:crossesAt val="1"/>
        <c:crossBetween val="between"/>
        <c:dispUnits/>
      </c:valAx>
      <c:catAx>
        <c:axId val="24384861"/>
        <c:scaling>
          <c:orientation val="minMax"/>
        </c:scaling>
        <c:axPos val="b"/>
        <c:delete val="1"/>
        <c:majorTickMark val="in"/>
        <c:minorTickMark val="none"/>
        <c:tickLblPos val="nextTo"/>
        <c:crossAx val="18137158"/>
        <c:crosses val="autoZero"/>
        <c:auto val="1"/>
        <c:lblOffset val="100"/>
        <c:noMultiLvlLbl val="0"/>
      </c:catAx>
      <c:valAx>
        <c:axId val="1813715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848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6.095049926957392</c:v>
                </c:pt>
                <c:pt idx="1">
                  <c:v>6.950645418914405</c:v>
                </c:pt>
                <c:pt idx="2">
                  <c:v>8.217631434413416</c:v>
                </c:pt>
                <c:pt idx="3">
                  <c:v>10.204429609518582</c:v>
                </c:pt>
                <c:pt idx="4">
                  <c:v>13.519407844404691</c:v>
                </c:pt>
                <c:pt idx="5">
                  <c:v>18.929250242302775</c:v>
                </c:pt>
                <c:pt idx="6">
                  <c:v>23.03340780281317</c:v>
                </c:pt>
                <c:pt idx="7">
                  <c:v>18.348168382023573</c:v>
                </c:pt>
                <c:pt idx="8">
                  <c:v>12.785900672882434</c:v>
                </c:pt>
                <c:pt idx="9">
                  <c:v>9.439586331326133</c:v>
                </c:pt>
                <c:pt idx="10">
                  <c:v>7.450788817772839</c:v>
                </c:pt>
                <c:pt idx="11">
                  <c:v>6.1936036806008685</c:v>
                </c:pt>
                <c:pt idx="12">
                  <c:v>5.355606966372542</c:v>
                </c:pt>
                <c:pt idx="13">
                  <c:v>4.776382559052626</c:v>
                </c:pt>
                <c:pt idx="14">
                  <c:v>4.367806942310871</c:v>
                </c:pt>
                <c:pt idx="15">
                  <c:v>4.078397878162243</c:v>
                </c:pt>
                <c:pt idx="16">
                  <c:v>3.876591994417203</c:v>
                </c:pt>
                <c:pt idx="17">
                  <c:v>3.7423686546329247</c:v>
                </c:pt>
                <c:pt idx="18">
                  <c:v>3.662785341618251</c:v>
                </c:pt>
                <c:pt idx="19">
                  <c:v>3.62946298986169</c:v>
                </c:pt>
                <c:pt idx="20">
                  <c:v>3.6370989121997734</c:v>
                </c:pt>
                <c:pt idx="21">
                  <c:v>3.6825484043432093</c:v>
                </c:pt>
                <c:pt idx="22">
                  <c:v>3.7642353539238824</c:v>
                </c:pt>
                <c:pt idx="23">
                  <c:v>3.881761652702651</c:v>
                </c:pt>
                <c:pt idx="24">
                  <c:v>4.035642458378827</c:v>
                </c:pt>
                <c:pt idx="25">
                  <c:v>4.227125355186124</c:v>
                </c:pt>
                <c:pt idx="26">
                  <c:v>4.458068588736291</c:v>
                </c:pt>
                <c:pt idx="27">
                  <c:v>4.730863047085724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3.685582205472159</c:v>
                </c:pt>
                <c:pt idx="1">
                  <c:v>3.731228240953325</c:v>
                </c:pt>
                <c:pt idx="2">
                  <c:v>3.789628023511066</c:v>
                </c:pt>
                <c:pt idx="3">
                  <c:v>3.8652193895353264</c:v>
                </c:pt>
                <c:pt idx="4">
                  <c:v>3.9645162236847207</c:v>
                </c:pt>
                <c:pt idx="5">
                  <c:v>4.097434930465013</c:v>
                </c:pt>
                <c:pt idx="6">
                  <c:v>4.279754419166995</c:v>
                </c:pt>
                <c:pt idx="7">
                  <c:v>4.537987280363027</c:v>
                </c:pt>
                <c:pt idx="8">
                  <c:v>4.919844914261913</c:v>
                </c:pt>
                <c:pt idx="9">
                  <c:v>5.519194727991895</c:v>
                </c:pt>
                <c:pt idx="10">
                  <c:v>6.544338659669121</c:v>
                </c:pt>
                <c:pt idx="11">
                  <c:v>8.54133307390241</c:v>
                </c:pt>
                <c:pt idx="12">
                  <c:v>13.230829270416368</c:v>
                </c:pt>
                <c:pt idx="13">
                  <c:v>21.105105434856778</c:v>
                </c:pt>
                <c:pt idx="14">
                  <c:v>12.710920360427595</c:v>
                </c:pt>
                <c:pt idx="15">
                  <c:v>7.448215909609166</c:v>
                </c:pt>
                <c:pt idx="16">
                  <c:v>5.38578952833375</c:v>
                </c:pt>
                <c:pt idx="17">
                  <c:v>4.445730997575228</c:v>
                </c:pt>
                <c:pt idx="18">
                  <c:v>3.9852825686977202</c:v>
                </c:pt>
                <c:pt idx="19">
                  <c:v>3.764614226806811</c:v>
                </c:pt>
                <c:pt idx="20">
                  <c:v>3.679426654371941</c:v>
                </c:pt>
                <c:pt idx="21">
                  <c:v>3.6800732608599422</c:v>
                </c:pt>
                <c:pt idx="22">
                  <c:v>3.741795851058255</c:v>
                </c:pt>
                <c:pt idx="23">
                  <c:v>3.8521805334655546</c:v>
                </c:pt>
                <c:pt idx="24">
                  <c:v>4.005363215077289</c:v>
                </c:pt>
                <c:pt idx="25">
                  <c:v>4.1991697539890795</c:v>
                </c:pt>
                <c:pt idx="26">
                  <c:v>4.433632315436832</c:v>
                </c:pt>
                <c:pt idx="27">
                  <c:v>4.71019192884389</c:v>
                </c:pt>
              </c:numCache>
            </c:numRef>
          </c:val>
          <c:smooth val="0"/>
        </c:ser>
        <c:marker val="1"/>
        <c:axId val="29016695"/>
        <c:axId val="59823664"/>
      </c:lineChart>
      <c:catAx>
        <c:axId val="2901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1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2"/>
          <c:y val="0.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Test!$C$31:$C$66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Test!$D$31:$D$66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Test!$E$31:$E$66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Test!$F$31:$F$66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1542065"/>
        <c:axId val="13878586"/>
      </c:lineChart>
      <c:catAx>
        <c:axId val="154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878586"/>
        <c:crosses val="autoZero"/>
        <c:auto val="1"/>
        <c:lblOffset val="100"/>
        <c:noMultiLvlLbl val="0"/>
      </c:catAx>
      <c:valAx>
        <c:axId val="138785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42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2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60.63262824933626</c:v>
                </c:pt>
                <c:pt idx="1">
                  <c:v>62.391103802849656</c:v>
                </c:pt>
                <c:pt idx="2">
                  <c:v>64.15553916538916</c:v>
                </c:pt>
                <c:pt idx="3">
                  <c:v>65.92593974344578</c:v>
                </c:pt>
                <c:pt idx="4">
                  <c:v>67.70159377236473</c:v>
                </c:pt>
                <c:pt idx="5">
                  <c:v>69.4805120801579</c:v>
                </c:pt>
                <c:pt idx="6">
                  <c:v>71.25853143028402</c:v>
                </c:pt>
                <c:pt idx="7">
                  <c:v>73.0279301487096</c:v>
                </c:pt>
                <c:pt idx="8">
                  <c:v>74.77541303853948</c:v>
                </c:pt>
                <c:pt idx="9">
                  <c:v>76.47947917667379</c:v>
                </c:pt>
                <c:pt idx="10">
                  <c:v>78.1077011715854</c:v>
                </c:pt>
                <c:pt idx="11">
                  <c:v>79.61554879528845</c:v>
                </c:pt>
                <c:pt idx="12">
                  <c:v>80.94980842477915</c:v>
                </c:pt>
                <c:pt idx="13">
                  <c:v>82.05955138462525</c:v>
                </c:pt>
                <c:pt idx="14">
                  <c:v>82.91302501481147</c:v>
                </c:pt>
                <c:pt idx="15">
                  <c:v>83.51111875254898</c:v>
                </c:pt>
                <c:pt idx="16">
                  <c:v>83.88695752763013</c:v>
                </c:pt>
                <c:pt idx="17">
                  <c:v>84.09196691289073</c:v>
                </c:pt>
                <c:pt idx="18">
                  <c:v>84.17911583605814</c:v>
                </c:pt>
                <c:pt idx="19">
                  <c:v>84.1923516236148</c:v>
                </c:pt>
                <c:pt idx="20">
                  <c:v>84.16349825259212</c:v>
                </c:pt>
                <c:pt idx="21">
                  <c:v>84.11357337003392</c:v>
                </c:pt>
                <c:pt idx="22">
                  <c:v>84.0555318296891</c:v>
                </c:pt>
                <c:pt idx="23">
                  <c:v>83.99687294321458</c:v>
                </c:pt>
                <c:pt idx="24">
                  <c:v>83.94162169570151</c:v>
                </c:pt>
                <c:pt idx="25">
                  <c:v>83.89168463241835</c:v>
                </c:pt>
                <c:pt idx="26">
                  <c:v>83.84772611177767</c:v>
                </c:pt>
                <c:pt idx="27">
                  <c:v>83.80971498853663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80.02059991327963</c:v>
                </c:pt>
                <c:pt idx="1">
                  <c:v>81.36840274226304</c:v>
                </c:pt>
                <c:pt idx="2">
                  <c:v>82.65523578413429</c:v>
                </c:pt>
                <c:pt idx="3">
                  <c:v>83.8748280919235</c:v>
                </c:pt>
                <c:pt idx="4">
                  <c:v>85.0214009686402</c:v>
                </c:pt>
                <c:pt idx="5">
                  <c:v>86.0899974672194</c:v>
                </c:pt>
                <c:pt idx="6">
                  <c:v>87.07680050851516</c:v>
                </c:pt>
                <c:pt idx="7">
                  <c:v>87.97940008672037</c:v>
                </c:pt>
                <c:pt idx="8">
                  <c:v>88.79697191230936</c:v>
                </c:pt>
                <c:pt idx="9">
                  <c:v>89.53034027480776</c:v>
                </c:pt>
                <c:pt idx="10">
                  <c:v>90.18191518002274</c:v>
                </c:pt>
                <c:pt idx="11">
                  <c:v>90.75551370710022</c:v>
                </c:pt>
                <c:pt idx="12">
                  <c:v>91.25609280310519</c:v>
                </c:pt>
                <c:pt idx="13">
                  <c:v>91.6894311650281</c:v>
                </c:pt>
                <c:pt idx="14">
                  <c:v>92.06179973983886</c:v>
                </c:pt>
                <c:pt idx="15">
                  <c:v>92.37965475391009</c:v>
                </c:pt>
                <c:pt idx="16">
                  <c:v>92.6493769645161</c:v>
                </c:pt>
                <c:pt idx="17">
                  <c:v>92.87706935657054</c:v>
                </c:pt>
                <c:pt idx="18">
                  <c:v>93.06841543425867</c:v>
                </c:pt>
                <c:pt idx="19">
                  <c:v>93.22859300885098</c:v>
                </c:pt>
                <c:pt idx="20">
                  <c:v>93.36223424480164</c:v>
                </c:pt>
                <c:pt idx="21">
                  <c:v>93.47342122555301</c:v>
                </c:pt>
                <c:pt idx="22">
                  <c:v>93.5657066469345</c:v>
                </c:pt>
                <c:pt idx="23">
                  <c:v>93.64215064732454</c:v>
                </c:pt>
                <c:pt idx="24">
                  <c:v>93.70536661323098</c:v>
                </c:pt>
                <c:pt idx="25">
                  <c:v>93.75757064107296</c:v>
                </c:pt>
                <c:pt idx="26">
                  <c:v>93.80063096178102</c:v>
                </c:pt>
                <c:pt idx="27">
                  <c:v>93.83611495114235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20</c:v>
                </c:pt>
                <c:pt idx="1">
                  <c:v>22.081790273476244</c:v>
                </c:pt>
                <c:pt idx="2">
                  <c:v>24.380273084089502</c:v>
                </c:pt>
                <c:pt idx="3">
                  <c:v>26.918003852647114</c:v>
                </c:pt>
                <c:pt idx="4">
                  <c:v>29.719885782738956</c:v>
                </c:pt>
                <c:pt idx="5">
                  <c:v>32.8134142403055</c:v>
                </c:pt>
                <c:pt idx="6">
                  <c:v>36.22894657055624</c:v>
                </c:pt>
                <c:pt idx="7">
                  <c:v>39.999999999999964</c:v>
                </c:pt>
                <c:pt idx="8">
                  <c:v>44.16358054695245</c:v>
                </c:pt>
                <c:pt idx="9">
                  <c:v>48.76054616817897</c:v>
                </c:pt>
                <c:pt idx="10">
                  <c:v>53.836007705294186</c:v>
                </c:pt>
                <c:pt idx="11">
                  <c:v>59.43977156547787</c:v>
                </c:pt>
                <c:pt idx="12">
                  <c:v>65.62682848061095</c:v>
                </c:pt>
                <c:pt idx="13">
                  <c:v>72.45789314111244</c:v>
                </c:pt>
                <c:pt idx="14">
                  <c:v>79.99999999999989</c:v>
                </c:pt>
                <c:pt idx="15">
                  <c:v>88.32716109390485</c:v>
                </c:pt>
                <c:pt idx="16">
                  <c:v>97.52109233635788</c:v>
                </c:pt>
                <c:pt idx="17">
                  <c:v>107.67201541058832</c:v>
                </c:pt>
                <c:pt idx="18">
                  <c:v>118.87954313095567</c:v>
                </c:pt>
                <c:pt idx="19">
                  <c:v>131.25365696122182</c:v>
                </c:pt>
                <c:pt idx="20">
                  <c:v>144.9157862822248</c:v>
                </c:pt>
                <c:pt idx="21">
                  <c:v>159.9999999999997</c:v>
                </c:pt>
                <c:pt idx="22">
                  <c:v>176.6543221878096</c:v>
                </c:pt>
                <c:pt idx="23">
                  <c:v>195.04218467271565</c:v>
                </c:pt>
                <c:pt idx="24">
                  <c:v>215.3440308211765</c:v>
                </c:pt>
                <c:pt idx="25">
                  <c:v>237.7590862619112</c:v>
                </c:pt>
                <c:pt idx="26">
                  <c:v>262.50731392244353</c:v>
                </c:pt>
                <c:pt idx="27">
                  <c:v>289.83157256444946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19.387971663943368</c:v>
                </c:pt>
                <c:pt idx="1">
                  <c:v>18.977298939413387</c:v>
                </c:pt>
                <c:pt idx="2">
                  <c:v>18.499696618745133</c:v>
                </c:pt>
                <c:pt idx="3">
                  <c:v>17.948888348477723</c:v>
                </c:pt>
                <c:pt idx="4">
                  <c:v>17.319807196275463</c:v>
                </c:pt>
                <c:pt idx="5">
                  <c:v>16.60948538706151</c:v>
                </c:pt>
                <c:pt idx="6">
                  <c:v>15.81826907823114</c:v>
                </c:pt>
                <c:pt idx="7">
                  <c:v>14.951469938010774</c:v>
                </c:pt>
                <c:pt idx="8">
                  <c:v>14.021558873769877</c:v>
                </c:pt>
                <c:pt idx="9">
                  <c:v>13.050861098133964</c:v>
                </c:pt>
                <c:pt idx="10">
                  <c:v>12.074214008437337</c:v>
                </c:pt>
                <c:pt idx="11">
                  <c:v>11.139964911811774</c:v>
                </c:pt>
                <c:pt idx="12">
                  <c:v>10.30628437832604</c:v>
                </c:pt>
                <c:pt idx="13">
                  <c:v>9.629879780402845</c:v>
                </c:pt>
                <c:pt idx="14">
                  <c:v>9.148774725027394</c:v>
                </c:pt>
                <c:pt idx="15">
                  <c:v>8.868536001361107</c:v>
                </c:pt>
                <c:pt idx="16">
                  <c:v>8.762419436885963</c:v>
                </c:pt>
                <c:pt idx="17">
                  <c:v>8.785102443679818</c:v>
                </c:pt>
                <c:pt idx="18">
                  <c:v>8.889299598200523</c:v>
                </c:pt>
                <c:pt idx="19">
                  <c:v>9.036241385236181</c:v>
                </c:pt>
                <c:pt idx="20">
                  <c:v>9.19873599220952</c:v>
                </c:pt>
                <c:pt idx="21">
                  <c:v>9.359847855519092</c:v>
                </c:pt>
                <c:pt idx="22">
                  <c:v>9.5101748172454</c:v>
                </c:pt>
                <c:pt idx="23">
                  <c:v>9.645277704109958</c:v>
                </c:pt>
                <c:pt idx="24">
                  <c:v>9.763744917529465</c:v>
                </c:pt>
                <c:pt idx="25">
                  <c:v>9.865886008654613</c:v>
                </c:pt>
                <c:pt idx="26">
                  <c:v>9.95290485000335</c:v>
                </c:pt>
                <c:pt idx="27">
                  <c:v>10.026399962605723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94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94</c:v>
                </c:pt>
                <c:pt idx="14">
                  <c:v>94</c:v>
                </c:pt>
                <c:pt idx="15">
                  <c:v>94</c:v>
                </c:pt>
                <c:pt idx="16">
                  <c:v>94</c:v>
                </c:pt>
                <c:pt idx="17">
                  <c:v>94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94</c:v>
                </c:pt>
                <c:pt idx="22">
                  <c:v>94</c:v>
                </c:pt>
                <c:pt idx="23">
                  <c:v>94</c:v>
                </c:pt>
                <c:pt idx="24">
                  <c:v>94</c:v>
                </c:pt>
                <c:pt idx="25">
                  <c:v>94</c:v>
                </c:pt>
                <c:pt idx="26">
                  <c:v>94</c:v>
                </c:pt>
                <c:pt idx="27">
                  <c:v>94</c:v>
                </c:pt>
              </c:numCache>
            </c:numRef>
          </c:val>
          <c:smooth val="0"/>
        </c:ser>
        <c:marker val="1"/>
        <c:axId val="57798411"/>
        <c:axId val="50423652"/>
      </c:lineChart>
      <c:catAx>
        <c:axId val="5779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23652"/>
        <c:crosses val="autoZero"/>
        <c:auto val="1"/>
        <c:lblOffset val="100"/>
        <c:noMultiLvlLbl val="0"/>
      </c:catAx>
      <c:valAx>
        <c:axId val="50423652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9841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workbookViewId="0" topLeftCell="A2">
      <selection activeCell="I9" sqref="I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168</v>
      </c>
      <c r="L2" s="38" t="s">
        <v>161</v>
      </c>
      <c r="N2" s="38" t="s">
        <v>163</v>
      </c>
    </row>
    <row r="3" spans="2:14" ht="12.75">
      <c r="B3" s="2" t="s">
        <v>123</v>
      </c>
      <c r="G3" s="37" t="s">
        <v>77</v>
      </c>
      <c r="L3" s="38" t="s">
        <v>162</v>
      </c>
      <c r="M3" s="38"/>
      <c r="N3" s="38" t="s">
        <v>167</v>
      </c>
    </row>
    <row r="5" spans="2:24" ht="12.75">
      <c r="B5" s="2" t="s">
        <v>32</v>
      </c>
      <c r="H5" t="s">
        <v>33</v>
      </c>
      <c r="L5" t="s">
        <v>47</v>
      </c>
      <c r="Q5" t="s">
        <v>153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150</v>
      </c>
      <c r="D6" s="19"/>
      <c r="E6" s="19"/>
      <c r="F6" s="6"/>
      <c r="H6" s="4" t="s">
        <v>36</v>
      </c>
      <c r="I6" s="5">
        <v>47</v>
      </c>
      <c r="J6" s="6" t="s">
        <v>17</v>
      </c>
      <c r="K6" s="20"/>
      <c r="L6" s="4" t="s">
        <v>0</v>
      </c>
      <c r="M6" s="19"/>
      <c r="N6" s="25">
        <f>C7</f>
        <v>3.5</v>
      </c>
      <c r="O6" s="6" t="s">
        <v>12</v>
      </c>
      <c r="Q6" s="4" t="s">
        <v>151</v>
      </c>
      <c r="R6" s="5">
        <v>180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3.5</v>
      </c>
      <c r="D7" s="20" t="s">
        <v>69</v>
      </c>
      <c r="E7" s="20" t="s">
        <v>78</v>
      </c>
      <c r="F7" s="9"/>
      <c r="H7" s="7" t="s">
        <v>25</v>
      </c>
      <c r="I7" s="10">
        <v>50</v>
      </c>
      <c r="J7" s="9"/>
      <c r="K7" s="20"/>
      <c r="L7" s="7" t="s">
        <v>1</v>
      </c>
      <c r="M7" s="20"/>
      <c r="N7" s="21">
        <f>C8</f>
        <v>4.2</v>
      </c>
      <c r="O7" s="9" t="s">
        <v>13</v>
      </c>
      <c r="Q7" s="7" t="s">
        <v>152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4.2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536.8672520661156</v>
      </c>
      <c r="O8" s="9" t="s">
        <v>24</v>
      </c>
      <c r="Q8" s="7" t="s">
        <v>164</v>
      </c>
      <c r="R8" s="10">
        <v>12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18.1</v>
      </c>
      <c r="D9" s="20" t="s">
        <v>14</v>
      </c>
      <c r="E9" s="31">
        <f>1/(2*PI()*SQRT(E15*E16*0.000000001))</f>
        <v>18.19680290739042</v>
      </c>
      <c r="F9" s="9" t="s">
        <v>14</v>
      </c>
      <c r="H9" s="7" t="s">
        <v>29</v>
      </c>
      <c r="I9" s="8">
        <f>I6/(1.2*(343*C18*0.0001)^2)</f>
        <v>0.1533050772865137</v>
      </c>
      <c r="J9" s="9" t="s">
        <v>16</v>
      </c>
      <c r="K9" s="20"/>
      <c r="L9" s="7" t="s">
        <v>19</v>
      </c>
      <c r="M9" s="20"/>
      <c r="N9" s="16">
        <f>I15*C10^2</f>
        <v>35.61747643957549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17.6</v>
      </c>
      <c r="D10" s="20" t="s">
        <v>70</v>
      </c>
      <c r="E10" s="32"/>
      <c r="F10" s="9"/>
      <c r="H10" s="7" t="s">
        <v>79</v>
      </c>
      <c r="I10" s="16">
        <f>I9*C10^2</f>
        <v>47.487780740270495</v>
      </c>
      <c r="J10" s="9" t="s">
        <v>13</v>
      </c>
      <c r="K10" s="20"/>
      <c r="L10" s="12" t="s">
        <v>21</v>
      </c>
      <c r="M10" s="23"/>
      <c r="N10" s="26">
        <f>((C10^2)/C14)*I12/(I12+((C10^2)/C14))</f>
        <v>54.43479960775189</v>
      </c>
      <c r="O10" s="14" t="s">
        <v>12</v>
      </c>
      <c r="Q10" s="7" t="s">
        <v>155</v>
      </c>
      <c r="R10" s="16">
        <f>1.41*SQRT(R6*R7)</f>
        <v>53.50573801004898</v>
      </c>
      <c r="S10" s="9" t="s">
        <v>165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3.7</v>
      </c>
      <c r="D11" s="20"/>
      <c r="E11" s="33">
        <f>E14/(2*PI()*E9*E16/1000)</f>
        <v>3.713618167939272</v>
      </c>
      <c r="F11" s="9"/>
      <c r="H11" s="7" t="s">
        <v>30</v>
      </c>
      <c r="I11" s="11">
        <f>C10^2/I12</f>
        <v>0.5704774561875683</v>
      </c>
      <c r="J11" s="9" t="s">
        <v>15</v>
      </c>
      <c r="Q11" s="12" t="s">
        <v>154</v>
      </c>
      <c r="R11" s="26">
        <f>1.41*SQRT(R6/R7)</f>
        <v>6.688217251256122</v>
      </c>
      <c r="S11" s="14" t="s">
        <v>166</v>
      </c>
    </row>
    <row r="12" spans="2:12" ht="12.75">
      <c r="B12" s="7" t="s">
        <v>4</v>
      </c>
      <c r="C12" s="10">
        <v>0.21</v>
      </c>
      <c r="D12" s="20"/>
      <c r="E12" s="33">
        <f>C7/(2*PI()*E9*E16/1000)</f>
        <v>0.21483741467417275</v>
      </c>
      <c r="F12" s="9"/>
      <c r="H12" s="12" t="s">
        <v>31</v>
      </c>
      <c r="I12" s="13">
        <f>I7*2*PI()*I17*I10/1000</f>
        <v>542.983770244119</v>
      </c>
      <c r="J12" s="14" t="s">
        <v>12</v>
      </c>
      <c r="L12" t="s">
        <v>82</v>
      </c>
    </row>
    <row r="13" spans="2:18" ht="12.75">
      <c r="B13" s="7" t="s">
        <v>5</v>
      </c>
      <c r="C13" s="10">
        <v>0.2</v>
      </c>
      <c r="D13" s="20"/>
      <c r="E13" s="33">
        <f>E11*E12/(E11+E12)</f>
        <v>0.2030884935591789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156</v>
      </c>
      <c r="R13" s="1"/>
    </row>
    <row r="14" spans="2:21" ht="12.75">
      <c r="B14" s="7" t="s">
        <v>6</v>
      </c>
      <c r="C14" s="10">
        <v>5.12</v>
      </c>
      <c r="D14" s="20" t="s">
        <v>71</v>
      </c>
      <c r="E14" s="32">
        <f>(C10^2)/C14</f>
        <v>60.50000000000001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157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166.3</v>
      </c>
      <c r="D15" s="20" t="s">
        <v>72</v>
      </c>
      <c r="E15" s="31">
        <f>1000*C15/(C10^2)</f>
        <v>536.8672520661156</v>
      </c>
      <c r="F15" s="9" t="s">
        <v>24</v>
      </c>
      <c r="H15" s="4" t="s">
        <v>22</v>
      </c>
      <c r="I15" s="15">
        <f>C16*I9/(C16+I9)</f>
        <v>0.11498410524139813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1.7351063829787234</v>
      </c>
      <c r="W15" s="6" t="s">
        <v>112</v>
      </c>
    </row>
    <row r="16" spans="2:23" ht="12.75">
      <c r="B16" s="7" t="s">
        <v>9</v>
      </c>
      <c r="C16" s="10">
        <v>0.46</v>
      </c>
      <c r="D16" s="20" t="s">
        <v>73</v>
      </c>
      <c r="E16" s="31">
        <f>C16*C10^2</f>
        <v>142.48960000000002</v>
      </c>
      <c r="F16" s="9" t="s">
        <v>13</v>
      </c>
      <c r="H16" s="7" t="s">
        <v>23</v>
      </c>
      <c r="I16" s="16">
        <f>I15*I6/I9</f>
        <v>35.25162402968323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158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-35.21347785118846</v>
      </c>
      <c r="W16" s="14" t="s">
        <v>60</v>
      </c>
    </row>
    <row r="17" spans="2:21" ht="12.75">
      <c r="B17" s="7" t="s">
        <v>8</v>
      </c>
      <c r="C17" s="10">
        <v>139.2</v>
      </c>
      <c r="D17" s="20" t="s">
        <v>17</v>
      </c>
      <c r="E17" s="34">
        <f>C17/(1.2*(343*C18*0.0001)^2)</f>
        <v>0.4540439735804831</v>
      </c>
      <c r="F17" s="9" t="s">
        <v>16</v>
      </c>
      <c r="H17" s="7" t="s">
        <v>18</v>
      </c>
      <c r="I17" s="16">
        <f>E9*SQRT(C16/I15)</f>
        <v>36.39612115195817</v>
      </c>
      <c r="J17" s="9" t="s">
        <v>14</v>
      </c>
      <c r="K17" s="20"/>
      <c r="L17" s="49" t="s">
        <v>94</v>
      </c>
      <c r="M17" s="23"/>
      <c r="N17" s="22">
        <v>88</v>
      </c>
      <c r="O17" s="14" t="s">
        <v>95</v>
      </c>
      <c r="U17" t="s">
        <v>139</v>
      </c>
    </row>
    <row r="18" spans="2:11" ht="12.75">
      <c r="B18" s="7" t="s">
        <v>10</v>
      </c>
      <c r="C18" s="10">
        <v>466</v>
      </c>
      <c r="D18" s="20" t="s">
        <v>74</v>
      </c>
      <c r="E18" s="20"/>
      <c r="F18" s="9"/>
      <c r="H18" s="7" t="s">
        <v>26</v>
      </c>
      <c r="I18" s="11">
        <f>N10/(2*PI()*I17*N9/1000)</f>
        <v>6.683108507592385</v>
      </c>
      <c r="J18" s="9"/>
      <c r="K18" s="20"/>
    </row>
    <row r="19" spans="2:21" ht="12.75">
      <c r="B19" s="12" t="s">
        <v>45</v>
      </c>
      <c r="C19" s="22">
        <v>12.5</v>
      </c>
      <c r="D19" s="23" t="s">
        <v>75</v>
      </c>
      <c r="E19" s="23"/>
      <c r="F19" s="14"/>
      <c r="H19" s="7" t="s">
        <v>27</v>
      </c>
      <c r="I19" s="11">
        <f>N6/(2*PI()*I17*N9/1000)</f>
        <v>0.4297045262428471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0.403744898315719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155.76396143524678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>
        <f>(E9/(2*E13))*(1-SQRT(1-(2*E13)^2))</f>
        <v>3.8620253435589604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>
        <f>(E9/(2*E13))*(1+SQRT(1-(2*E13)^2))</f>
        <v>85.73833846084324</v>
      </c>
      <c r="D23" s="14" t="s">
        <v>14</v>
      </c>
      <c r="H23" s="4" t="s">
        <v>37</v>
      </c>
      <c r="I23" s="35">
        <f>(I17/(2*I20))*(1-SQRT(1-(2*I20)^2))</f>
        <v>18.485337286546912</v>
      </c>
      <c r="J23" s="6" t="s">
        <v>14</v>
      </c>
      <c r="L23" s="7" t="s">
        <v>89</v>
      </c>
      <c r="M23" s="20"/>
      <c r="N23" s="51">
        <f>I23</f>
        <v>18.485337286546912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>
        <f>(I17/(2*I20))*(1+SQRT(1-(2*I20)^2))</f>
        <v>71.66099348763727</v>
      </c>
      <c r="J24" s="14" t="s">
        <v>14</v>
      </c>
      <c r="L24" s="12" t="s">
        <v>90</v>
      </c>
      <c r="M24" s="23"/>
      <c r="N24" s="13">
        <f>I24</f>
        <v>71.66099348763727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89.29321470201015</v>
      </c>
      <c r="W25" s="14" t="s">
        <v>60</v>
      </c>
    </row>
    <row r="26" spans="2:21" ht="12.75">
      <c r="B26" s="4" t="s">
        <v>39</v>
      </c>
      <c r="C26" s="35">
        <f>E9/(2*E13)</f>
        <v>44.800181902201096</v>
      </c>
      <c r="D26" s="6" t="s">
        <v>14</v>
      </c>
      <c r="H26" t="s">
        <v>43</v>
      </c>
      <c r="I26" s="36"/>
      <c r="L26" s="7" t="s">
        <v>92</v>
      </c>
      <c r="M26" s="20"/>
      <c r="N26" s="51" t="e">
        <f>SQRT(I27^2+I28^2)</f>
        <v>#NUM!</v>
      </c>
      <c r="O26" s="9" t="s">
        <v>14</v>
      </c>
      <c r="U26" t="s">
        <v>146</v>
      </c>
    </row>
    <row r="27" spans="2:15" ht="12.75">
      <c r="B27" s="27" t="s">
        <v>44</v>
      </c>
      <c r="C27" s="13" t="e">
        <f>C26*SQRT(-1+(2*E13)^2)</f>
        <v>#NUM!</v>
      </c>
      <c r="D27" s="14" t="s">
        <v>14</v>
      </c>
      <c r="H27" s="4" t="s">
        <v>39</v>
      </c>
      <c r="I27" s="35">
        <f>I17/(2*I20)</f>
        <v>45.0731653870921</v>
      </c>
      <c r="J27" s="6" t="s">
        <v>14</v>
      </c>
      <c r="L27" s="12" t="s">
        <v>93</v>
      </c>
      <c r="M27" s="23"/>
      <c r="N27" s="17" t="e">
        <f>N26/(2*I27)</f>
        <v>#NUM!</v>
      </c>
      <c r="O27" s="14"/>
    </row>
    <row r="28" spans="8:15" ht="12.75">
      <c r="H28" s="27" t="s">
        <v>44</v>
      </c>
      <c r="I28" s="13" t="e">
        <f>I27*SQRT(-1+(2*I20)^2)</f>
        <v>#NUM!</v>
      </c>
      <c r="J28" s="14" t="s">
        <v>14</v>
      </c>
      <c r="L28" s="65" t="s">
        <v>148</v>
      </c>
      <c r="M28" s="70"/>
      <c r="N28" s="72">
        <f>((I17/N13)-(I20/N14))/((I20/N14)-(N13/I17))</f>
        <v>3.924000121525813</v>
      </c>
      <c r="O28" s="71" t="s">
        <v>149</v>
      </c>
    </row>
    <row r="29" ht="12.75">
      <c r="E29" t="s">
        <v>57</v>
      </c>
    </row>
    <row r="30" ht="12.75">
      <c r="AB30" t="s">
        <v>159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12.5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53.50573801004898</v>
      </c>
      <c r="AE31" t="s">
        <v>65</v>
      </c>
      <c r="AG31" t="s">
        <v>160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6.152553602958655</v>
      </c>
      <c r="D35" s="3">
        <f>(2*PI()*B35*$C$8/1000)-($E$14*$E$11*(B35/$C$9-$C$9/B35))/((1+($E$11*(B35/$C$9-$C$9/B35))^2))</f>
        <v>12.65112318912591</v>
      </c>
      <c r="E35" s="3">
        <f>SQRT(C35^2+D35^2)</f>
        <v>14.067865288796266</v>
      </c>
      <c r="H35" s="3">
        <f aca="true" t="shared" si="0" ref="H35:H62">$C$7+$N$10/(1+($I$18*(B35/$I$17-$I$17/B35))^2)</f>
        <v>3.607430668521374</v>
      </c>
      <c r="I35" s="3">
        <f aca="true" t="shared" si="1" ref="I35:I62">(2*PI()*B35*$C$8/1000)-($N$10*$I$18*(B35/$I$17-$I$17/B35))/((1+($I$18*(B35/$I$17-$I$17/B35))^2))</f>
        <v>2.6797633083827668</v>
      </c>
      <c r="J35" s="3">
        <f>SQRT(H35^2+I35^2)</f>
        <v>4.4938499548987085</v>
      </c>
      <c r="L35" s="28">
        <f aca="true" t="shared" si="2" ref="L35:L62">(1000/(2*PI()*B35*$C$10))/SQRT((1+$I$19/$I$18)^2+($I$19^2)*(B35/$I$17-$I$17/B35)^2)</f>
        <v>0.5036797050053426</v>
      </c>
      <c r="M35" s="28"/>
      <c r="N35" s="3">
        <f aca="true" t="shared" si="3" ref="N35:N62">$P$31/L35</f>
        <v>24.81735888061523</v>
      </c>
      <c r="O35" s="3">
        <f>N35/J35</f>
        <v>5.522516134202931</v>
      </c>
      <c r="P35" s="29">
        <f>N35*O35/2</f>
        <v>68.527132413251</v>
      </c>
      <c r="Q35" s="29">
        <f>4*O35^2</f>
        <v>121.99273781012674</v>
      </c>
      <c r="R35" s="29">
        <f>(N35^2)/16</f>
        <v>38.49383136307823</v>
      </c>
      <c r="S35" s="29">
        <f>-37.6+20*LOG($P$31*$C$18)+40*LOG(B35)</f>
        <v>77.70591859396112</v>
      </c>
      <c r="T35" s="76">
        <f>B35</f>
        <v>10</v>
      </c>
      <c r="U35" s="29">
        <f>-37.6+20*LOG(2.83*1.41*L35*$C$18)+40*LOG(B35)</f>
        <v>61.830918337110226</v>
      </c>
      <c r="V35" s="29">
        <f aca="true" t="shared" si="4" ref="V35:V62">$N$17+40*LOG(T35/$N$13)-10*LOG((((T35^2/$N$13^2)-1)^2)+(T35/($N$13*$N$14))^2)</f>
        <v>74.02059991327963</v>
      </c>
      <c r="W35" s="29">
        <f>V35-U35</f>
        <v>12.189681576169399</v>
      </c>
      <c r="X35" s="1">
        <f aca="true" t="shared" si="5" ref="X35:X62">$N$17</f>
        <v>88</v>
      </c>
      <c r="Y35" s="29">
        <f>U35+7.95</f>
        <v>69.78091833711022</v>
      </c>
      <c r="Z35" s="3">
        <f>10/J35</f>
        <v>2.225263437890062</v>
      </c>
      <c r="AB35" s="3">
        <f>IF(N35&lt;$AD$31,N35,$AD$31)</f>
        <v>24.81735888061523</v>
      </c>
      <c r="AC35" s="3">
        <f>IF(AB35/J35&lt;$R$8,AB35/J35,$R$8)</f>
        <v>5.522516134202931</v>
      </c>
      <c r="AD35" s="29">
        <f>AB35*AC35/2</f>
        <v>68.527132413251</v>
      </c>
      <c r="AE35" s="29">
        <f>S35+20*LOG(AC35/O35)</f>
        <v>77.70591859396112</v>
      </c>
      <c r="AG35" s="29">
        <f aca="true" t="shared" si="6" ref="AG35:AG62">AE35+20*LOG(T35/$R$16)</f>
        <v>54.432257592099475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7.375022460286594</v>
      </c>
      <c r="D36" s="3">
        <f aca="true" t="shared" si="8" ref="D36:D62">(2*PI()*B36*$C$8/1000)-($E$14*$E$11*(B36/$C$9-$C$9/B36))/((1+($E$11*(B36/$C$9-$C$9/B36))^2))</f>
        <v>15.104297914202675</v>
      </c>
      <c r="E36" s="3">
        <f aca="true" t="shared" si="9" ref="E36:E62">SQRT(C36^2+D36^2)</f>
        <v>16.80865169401517</v>
      </c>
      <c r="H36" s="3">
        <f t="shared" si="0"/>
        <v>3.635701504763818</v>
      </c>
      <c r="I36" s="3">
        <f t="shared" si="1"/>
        <v>3.0058548192536003</v>
      </c>
      <c r="J36" s="3">
        <f aca="true" t="shared" si="10" ref="J36:J62">SQRT(H36^2+I36^2)</f>
        <v>4.717360345168894</v>
      </c>
      <c r="L36" s="28">
        <f t="shared" si="2"/>
        <v>0.49061345825875996</v>
      </c>
      <c r="M36" s="28"/>
      <c r="N36" s="3">
        <f t="shared" si="3"/>
        <v>25.47830637252359</v>
      </c>
      <c r="O36" s="3">
        <f aca="true" t="shared" si="11" ref="O36:O62">N36/J36</f>
        <v>5.400966750105541</v>
      </c>
      <c r="P36" s="29">
        <f aca="true" t="shared" si="12" ref="P36:P62">N36*O36/2</f>
        <v>68.80374278350101</v>
      </c>
      <c r="Q36" s="29">
        <f aca="true" t="shared" si="13" ref="Q36:Q62">4*O36^2</f>
        <v>116.68176734298243</v>
      </c>
      <c r="R36" s="29">
        <f aca="true" t="shared" si="14" ref="R36:R62">(N36^2)/16</f>
        <v>40.57150597576101</v>
      </c>
      <c r="S36" s="29">
        <f aca="true" t="shared" si="15" ref="S36:S62">-37.6+20*LOG($P$31*$C$18)+40*LOG(B36)</f>
        <v>79.4260899977553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63.3227898487681</v>
      </c>
      <c r="V36" s="29">
        <f t="shared" si="4"/>
        <v>75.36840274226304</v>
      </c>
      <c r="W36" s="29">
        <f aca="true" t="shared" si="18" ref="W36:W62">V36-U36</f>
        <v>12.04561289349494</v>
      </c>
      <c r="X36" s="1">
        <f t="shared" si="5"/>
        <v>88</v>
      </c>
      <c r="Y36" s="29">
        <f aca="true" t="shared" si="19" ref="Y36:Y62">U36+7.95</f>
        <v>71.2727898487681</v>
      </c>
      <c r="Z36" s="3">
        <f aca="true" t="shared" si="20" ref="Z36:Z62">10/J36</f>
        <v>2.119829580167884</v>
      </c>
      <c r="AB36" s="3">
        <f aca="true" t="shared" si="21" ref="AB36:AB62">IF(N36&lt;$AD$31,N36,$AD$31)</f>
        <v>25.47830637252359</v>
      </c>
      <c r="AC36" s="3">
        <f aca="true" t="shared" si="22" ref="AC36:AC62">IF(AB36/J36&lt;$R$8,AB36/J36,$R$8)</f>
        <v>5.400966750105541</v>
      </c>
      <c r="AD36" s="29">
        <f aca="true" t="shared" si="23" ref="AD36:AD62">AB36*AC36/2</f>
        <v>68.80374278350101</v>
      </c>
      <c r="AE36" s="29">
        <f aca="true" t="shared" si="24" ref="AE36:AE62">S36+20*LOG(AC36/O36)</f>
        <v>79.4260899977553</v>
      </c>
      <c r="AG36" s="29">
        <f t="shared" si="6"/>
        <v>57.01251469779074</v>
      </c>
    </row>
    <row r="37" spans="2:33" ht="12.75">
      <c r="B37" s="75">
        <f aca="true" t="shared" si="25" ref="B37:B62">B36*2^(1/7)</f>
        <v>12.190136542044751</v>
      </c>
      <c r="C37" s="3">
        <f t="shared" si="7"/>
        <v>9.503332329801696</v>
      </c>
      <c r="D37" s="3">
        <f t="shared" si="8"/>
        <v>18.409299333435833</v>
      </c>
      <c r="E37" s="3">
        <f t="shared" si="9"/>
        <v>20.71751981581519</v>
      </c>
      <c r="H37" s="3">
        <f t="shared" si="0"/>
        <v>3.6728991727945255</v>
      </c>
      <c r="I37" s="3">
        <f t="shared" si="1"/>
        <v>3.384668691218617</v>
      </c>
      <c r="J37" s="3">
        <f t="shared" si="10"/>
        <v>4.9946141475423556</v>
      </c>
      <c r="L37" s="28">
        <f t="shared" si="2"/>
        <v>0.4758623525141911</v>
      </c>
      <c r="M37" s="28"/>
      <c r="N37" s="3">
        <f t="shared" si="3"/>
        <v>26.268100289835864</v>
      </c>
      <c r="O37" s="3">
        <f t="shared" si="11"/>
        <v>5.259285204796314</v>
      </c>
      <c r="P37" s="29">
        <f t="shared" si="12"/>
        <v>69.07571560621977</v>
      </c>
      <c r="Q37" s="29">
        <f t="shared" si="13"/>
        <v>110.64032346155764</v>
      </c>
      <c r="R37" s="29">
        <f t="shared" si="14"/>
        <v>43.12581830230469</v>
      </c>
      <c r="S37" s="29">
        <f t="shared" si="15"/>
        <v>81.14626140154948</v>
      </c>
      <c r="T37" s="76">
        <f t="shared" si="16"/>
        <v>12.190136542044751</v>
      </c>
      <c r="U37" s="29">
        <f t="shared" si="17"/>
        <v>64.77779905062744</v>
      </c>
      <c r="V37" s="29">
        <f t="shared" si="4"/>
        <v>76.65523578413429</v>
      </c>
      <c r="W37" s="29">
        <f t="shared" si="18"/>
        <v>11.877436733506855</v>
      </c>
      <c r="X37" s="1">
        <f t="shared" si="5"/>
        <v>88</v>
      </c>
      <c r="Y37" s="29">
        <f t="shared" si="19"/>
        <v>72.72779905062744</v>
      </c>
      <c r="Z37" s="3">
        <f t="shared" si="20"/>
        <v>2.0021566640779627</v>
      </c>
      <c r="AB37" s="3">
        <f t="shared" si="21"/>
        <v>26.268100289835864</v>
      </c>
      <c r="AC37" s="3">
        <f t="shared" si="22"/>
        <v>5.259285204796314</v>
      </c>
      <c r="AD37" s="29">
        <f t="shared" si="23"/>
        <v>69.07571560621977</v>
      </c>
      <c r="AE37" s="29">
        <f t="shared" si="24"/>
        <v>81.14626140154948</v>
      </c>
      <c r="AG37" s="29">
        <f t="shared" si="6"/>
        <v>59.592771803482016</v>
      </c>
    </row>
    <row r="38" spans="2:33" ht="12.75">
      <c r="B38" s="75">
        <f t="shared" si="25"/>
        <v>13.459001926323557</v>
      </c>
      <c r="C38" s="3">
        <f t="shared" si="7"/>
        <v>13.608299141836218</v>
      </c>
      <c r="D38" s="3">
        <f t="shared" si="8"/>
        <v>22.924498709264927</v>
      </c>
      <c r="E38" s="3">
        <f t="shared" si="9"/>
        <v>26.6593031905335</v>
      </c>
      <c r="H38" s="3">
        <f t="shared" si="0"/>
        <v>3.722729402618509</v>
      </c>
      <c r="I38" s="3">
        <f t="shared" si="1"/>
        <v>3.830030375353087</v>
      </c>
      <c r="J38" s="3">
        <f t="shared" si="10"/>
        <v>5.3411465886312905</v>
      </c>
      <c r="L38" s="28">
        <f t="shared" si="2"/>
        <v>0.4594016002225831</v>
      </c>
      <c r="M38" s="28"/>
      <c r="N38" s="3">
        <f t="shared" si="3"/>
        <v>27.20930879201045</v>
      </c>
      <c r="O38" s="3">
        <f t="shared" si="11"/>
        <v>5.094282349397761</v>
      </c>
      <c r="P38" s="29">
        <f t="shared" si="12"/>
        <v>69.30595075922608</v>
      </c>
      <c r="Q38" s="29">
        <f t="shared" si="13"/>
        <v>103.8068506215423</v>
      </c>
      <c r="R38" s="29">
        <f t="shared" si="14"/>
        <v>46.27165530868607</v>
      </c>
      <c r="S38" s="29">
        <f t="shared" si="15"/>
        <v>82.86643280534366</v>
      </c>
      <c r="T38" s="76">
        <f t="shared" si="16"/>
        <v>13.459001926323557</v>
      </c>
      <c r="U38" s="29">
        <f t="shared" si="17"/>
        <v>66.19219358135997</v>
      </c>
      <c r="V38" s="29">
        <f t="shared" si="4"/>
        <v>77.8748280919235</v>
      </c>
      <c r="W38" s="29">
        <f t="shared" si="18"/>
        <v>11.682634510563531</v>
      </c>
      <c r="X38" s="1">
        <f t="shared" si="5"/>
        <v>88</v>
      </c>
      <c r="Y38" s="29">
        <f t="shared" si="19"/>
        <v>74.14219358135998</v>
      </c>
      <c r="Z38" s="3">
        <f t="shared" si="20"/>
        <v>1.8722571706391935</v>
      </c>
      <c r="AB38" s="3">
        <f t="shared" si="21"/>
        <v>27.20930879201045</v>
      </c>
      <c r="AC38" s="3">
        <f t="shared" si="22"/>
        <v>5.094282349397761</v>
      </c>
      <c r="AD38" s="29">
        <f t="shared" si="23"/>
        <v>69.30595075922608</v>
      </c>
      <c r="AE38" s="29">
        <f t="shared" si="24"/>
        <v>82.86643280534366</v>
      </c>
      <c r="AG38" s="29">
        <f t="shared" si="6"/>
        <v>62.17302890917328</v>
      </c>
    </row>
    <row r="39" spans="2:33" ht="12.75">
      <c r="B39" s="75">
        <f t="shared" si="25"/>
        <v>14.859942891369478</v>
      </c>
      <c r="C39" s="3">
        <f t="shared" si="7"/>
        <v>22.560467575548223</v>
      </c>
      <c r="D39" s="3">
        <f t="shared" si="8"/>
        <v>28.496536911095966</v>
      </c>
      <c r="E39" s="3">
        <f t="shared" si="9"/>
        <v>36.34593943142504</v>
      </c>
      <c r="H39" s="3">
        <f t="shared" si="0"/>
        <v>3.791010276259967</v>
      </c>
      <c r="I39" s="3">
        <f t="shared" si="1"/>
        <v>4.36157774875575</v>
      </c>
      <c r="J39" s="3">
        <f t="shared" si="10"/>
        <v>5.778851042651121</v>
      </c>
      <c r="L39" s="28">
        <f t="shared" si="2"/>
        <v>0.44126198075907164</v>
      </c>
      <c r="M39" s="28"/>
      <c r="N39" s="3">
        <f t="shared" si="3"/>
        <v>28.327842744342348</v>
      </c>
      <c r="O39" s="3">
        <f t="shared" si="11"/>
        <v>4.901985279645933</v>
      </c>
      <c r="P39" s="29">
        <f t="shared" si="12"/>
        <v>69.43133406844552</v>
      </c>
      <c r="Q39" s="29">
        <f t="shared" si="13"/>
        <v>96.11783872746166</v>
      </c>
      <c r="R39" s="29">
        <f t="shared" si="14"/>
        <v>50.15416715926184</v>
      </c>
      <c r="S39" s="29">
        <f t="shared" si="15"/>
        <v>84.58660420913783</v>
      </c>
      <c r="T39" s="76">
        <f t="shared" si="16"/>
        <v>14.859942891369478</v>
      </c>
      <c r="U39" s="29">
        <f t="shared" si="17"/>
        <v>67.56244511536212</v>
      </c>
      <c r="V39" s="29">
        <f t="shared" si="4"/>
        <v>79.0214009686402</v>
      </c>
      <c r="W39" s="29">
        <f t="shared" si="18"/>
        <v>11.45895585327807</v>
      </c>
      <c r="X39" s="1">
        <f t="shared" si="5"/>
        <v>88</v>
      </c>
      <c r="Y39" s="29">
        <f t="shared" si="19"/>
        <v>75.51244511536213</v>
      </c>
      <c r="Z39" s="3">
        <f t="shared" si="20"/>
        <v>1.7304477873187007</v>
      </c>
      <c r="AB39" s="3">
        <f t="shared" si="21"/>
        <v>28.327842744342348</v>
      </c>
      <c r="AC39" s="3">
        <f t="shared" si="22"/>
        <v>4.901985279645933</v>
      </c>
      <c r="AD39" s="29">
        <f t="shared" si="23"/>
        <v>69.43133406844552</v>
      </c>
      <c r="AE39" s="29">
        <f t="shared" si="24"/>
        <v>84.58660420913783</v>
      </c>
      <c r="AG39" s="29">
        <f t="shared" si="6"/>
        <v>64.75328601486454</v>
      </c>
    </row>
    <row r="40" spans="2:33" ht="12.75">
      <c r="B40" s="75">
        <f t="shared" si="25"/>
        <v>16.40670712015275</v>
      </c>
      <c r="C40" s="3">
        <f t="shared" si="7"/>
        <v>42.94176284794252</v>
      </c>
      <c r="D40" s="3">
        <f t="shared" si="8"/>
        <v>29.252643502376372</v>
      </c>
      <c r="E40" s="3">
        <f t="shared" si="9"/>
        <v>51.95875429959863</v>
      </c>
      <c r="H40" s="3">
        <f t="shared" si="0"/>
        <v>3.887308538313368</v>
      </c>
      <c r="I40" s="3">
        <f t="shared" si="1"/>
        <v>5.008228341137275</v>
      </c>
      <c r="J40" s="3">
        <f t="shared" si="10"/>
        <v>6.339835864516891</v>
      </c>
      <c r="L40" s="28">
        <f t="shared" si="2"/>
        <v>0.4215363760958707</v>
      </c>
      <c r="M40" s="28"/>
      <c r="N40" s="3">
        <f t="shared" si="3"/>
        <v>29.653431373517112</v>
      </c>
      <c r="O40" s="3">
        <f t="shared" si="11"/>
        <v>4.677318468051029</v>
      </c>
      <c r="P40" s="29">
        <f t="shared" si="12"/>
        <v>69.34927110221768</v>
      </c>
      <c r="Q40" s="29">
        <f t="shared" si="13"/>
        <v>87.50923220628489</v>
      </c>
      <c r="R40" s="29">
        <f t="shared" si="14"/>
        <v>54.95787451399306</v>
      </c>
      <c r="S40" s="29">
        <f t="shared" si="15"/>
        <v>86.306775612932</v>
      </c>
      <c r="T40" s="76">
        <f t="shared" si="16"/>
        <v>16.40670712015275</v>
      </c>
      <c r="U40" s="29">
        <f t="shared" si="17"/>
        <v>68.8853874688206</v>
      </c>
      <c r="V40" s="29">
        <f t="shared" si="4"/>
        <v>80.0899974672194</v>
      </c>
      <c r="W40" s="29">
        <f t="shared" si="18"/>
        <v>11.204609998398809</v>
      </c>
      <c r="X40" s="1">
        <f t="shared" si="5"/>
        <v>88</v>
      </c>
      <c r="Y40" s="29">
        <f t="shared" si="19"/>
        <v>76.8353874688206</v>
      </c>
      <c r="Z40" s="3">
        <f t="shared" si="20"/>
        <v>1.577327901494816</v>
      </c>
      <c r="AB40" s="3">
        <f t="shared" si="21"/>
        <v>29.653431373517112</v>
      </c>
      <c r="AC40" s="3">
        <f t="shared" si="22"/>
        <v>4.677318468051029</v>
      </c>
      <c r="AD40" s="29">
        <f t="shared" si="23"/>
        <v>69.34927110221768</v>
      </c>
      <c r="AE40" s="29">
        <f t="shared" si="24"/>
        <v>86.306775612932</v>
      </c>
      <c r="AG40" s="29">
        <f t="shared" si="6"/>
        <v>67.3335431205558</v>
      </c>
    </row>
    <row r="41" spans="2:33" ht="12.75">
      <c r="B41" s="75">
        <f t="shared" si="25"/>
        <v>18.11447328527812</v>
      </c>
      <c r="C41" s="3">
        <f t="shared" si="7"/>
        <v>63.99786781646982</v>
      </c>
      <c r="D41" s="3">
        <f t="shared" si="8"/>
        <v>0.1188743492788511</v>
      </c>
      <c r="E41" s="3">
        <f t="shared" si="9"/>
        <v>63.997978219356746</v>
      </c>
      <c r="H41" s="3">
        <f t="shared" si="0"/>
        <v>4.028267001564522</v>
      </c>
      <c r="I41" s="3">
        <f t="shared" si="1"/>
        <v>5.81441819945293</v>
      </c>
      <c r="J41" s="3">
        <f t="shared" si="10"/>
        <v>7.073499419242436</v>
      </c>
      <c r="L41" s="28">
        <f t="shared" si="2"/>
        <v>0.40038124595009517</v>
      </c>
      <c r="M41" s="28"/>
      <c r="N41" s="3">
        <f t="shared" si="3"/>
        <v>31.220243521491117</v>
      </c>
      <c r="O41" s="3">
        <f t="shared" si="11"/>
        <v>4.413691395317138</v>
      </c>
      <c r="P41" s="29">
        <f t="shared" si="12"/>
        <v>68.89826009525548</v>
      </c>
      <c r="Q41" s="29">
        <f t="shared" si="13"/>
        <v>77.92268693238618</v>
      </c>
      <c r="R41" s="29">
        <f t="shared" si="14"/>
        <v>60.9189753463255</v>
      </c>
      <c r="S41" s="29">
        <f t="shared" si="15"/>
        <v>88.02694701672618</v>
      </c>
      <c r="T41" s="76">
        <f t="shared" si="16"/>
        <v>18.11447328527812</v>
      </c>
      <c r="U41" s="29">
        <f t="shared" si="17"/>
        <v>70.15833225458894</v>
      </c>
      <c r="V41" s="29">
        <f t="shared" si="4"/>
        <v>81.07680050851516</v>
      </c>
      <c r="W41" s="29">
        <f t="shared" si="18"/>
        <v>10.918468253926221</v>
      </c>
      <c r="X41" s="1">
        <f t="shared" si="5"/>
        <v>88</v>
      </c>
      <c r="Y41" s="29">
        <f t="shared" si="19"/>
        <v>78.10833225458894</v>
      </c>
      <c r="Z41" s="3">
        <f t="shared" si="20"/>
        <v>1.413727408077032</v>
      </c>
      <c r="AB41" s="3">
        <f t="shared" si="21"/>
        <v>31.220243521491117</v>
      </c>
      <c r="AC41" s="3">
        <f t="shared" si="22"/>
        <v>4.413691395317138</v>
      </c>
      <c r="AD41" s="29">
        <f t="shared" si="23"/>
        <v>68.89826009525548</v>
      </c>
      <c r="AE41" s="29">
        <f t="shared" si="24"/>
        <v>88.02694701672618</v>
      </c>
      <c r="AG41" s="29">
        <f t="shared" si="6"/>
        <v>69.91380022624708</v>
      </c>
    </row>
    <row r="42" spans="2:33" ht="12.75">
      <c r="B42" s="75">
        <f t="shared" si="25"/>
        <v>19.999999999999982</v>
      </c>
      <c r="C42" s="3">
        <f t="shared" si="7"/>
        <v>42.494872796502236</v>
      </c>
      <c r="D42" s="3">
        <f t="shared" si="8"/>
        <v>-28.430625715538753</v>
      </c>
      <c r="E42" s="3">
        <f t="shared" si="9"/>
        <v>51.128413749772825</v>
      </c>
      <c r="H42" s="3">
        <f t="shared" si="0"/>
        <v>4.244945815083617</v>
      </c>
      <c r="I42" s="3">
        <f t="shared" si="1"/>
        <v>6.852029172138147</v>
      </c>
      <c r="J42" s="3">
        <f t="shared" si="10"/>
        <v>8.06038887081933</v>
      </c>
      <c r="L42" s="28">
        <f t="shared" si="2"/>
        <v>0.37801213552395285</v>
      </c>
      <c r="M42" s="28"/>
      <c r="N42" s="3">
        <f t="shared" si="3"/>
        <v>33.06772144411203</v>
      </c>
      <c r="O42" s="3">
        <f t="shared" si="11"/>
        <v>4.102497035078003</v>
      </c>
      <c r="P42" s="29">
        <f t="shared" si="12"/>
        <v>67.83011459062746</v>
      </c>
      <c r="Q42" s="29">
        <f t="shared" si="13"/>
        <v>67.32192769129523</v>
      </c>
      <c r="R42" s="29">
        <f t="shared" si="14"/>
        <v>68.34213759408667</v>
      </c>
      <c r="S42" s="29">
        <f t="shared" si="15"/>
        <v>89.74711842052037</v>
      </c>
      <c r="T42" s="76">
        <f t="shared" si="16"/>
        <v>19.999999999999982</v>
      </c>
      <c r="U42" s="29">
        <f t="shared" si="17"/>
        <v>71.37914397289227</v>
      </c>
      <c r="V42" s="29">
        <f t="shared" si="4"/>
        <v>81.97940008672037</v>
      </c>
      <c r="W42" s="29">
        <f t="shared" si="18"/>
        <v>10.60025611382811</v>
      </c>
      <c r="X42" s="1">
        <f t="shared" si="5"/>
        <v>88</v>
      </c>
      <c r="Y42" s="29">
        <f t="shared" si="19"/>
        <v>79.32914397289227</v>
      </c>
      <c r="Z42" s="3">
        <f t="shared" si="20"/>
        <v>1.2406349321684167</v>
      </c>
      <c r="AB42" s="3">
        <f t="shared" si="21"/>
        <v>33.06772144411203</v>
      </c>
      <c r="AC42" s="3">
        <f t="shared" si="22"/>
        <v>4.102497035078003</v>
      </c>
      <c r="AD42" s="29">
        <f t="shared" si="23"/>
        <v>67.83011459062746</v>
      </c>
      <c r="AE42" s="29">
        <f t="shared" si="24"/>
        <v>89.74711842052037</v>
      </c>
      <c r="AG42" s="29">
        <f t="shared" si="6"/>
        <v>72.49405733193834</v>
      </c>
    </row>
    <row r="43" spans="2:33" ht="12.75">
      <c r="B43" s="75">
        <f t="shared" si="25"/>
        <v>22.081790273476226</v>
      </c>
      <c r="C43" s="3">
        <f t="shared" si="7"/>
        <v>22.34759587529965</v>
      </c>
      <c r="D43" s="3">
        <f t="shared" si="8"/>
        <v>-27.43597761171943</v>
      </c>
      <c r="E43" s="3">
        <f t="shared" si="9"/>
        <v>35.38570204074634</v>
      </c>
      <c r="H43" s="3">
        <f t="shared" si="0"/>
        <v>4.600779296608533</v>
      </c>
      <c r="I43" s="3">
        <f t="shared" si="1"/>
        <v>8.244903608223847</v>
      </c>
      <c r="J43" s="3">
        <f t="shared" si="10"/>
        <v>9.441695062064031</v>
      </c>
      <c r="L43" s="28">
        <f t="shared" si="2"/>
        <v>0.3546933505497677</v>
      </c>
      <c r="M43" s="28"/>
      <c r="N43" s="3">
        <f t="shared" si="3"/>
        <v>35.24170943894281</v>
      </c>
      <c r="O43" s="3">
        <f t="shared" si="11"/>
        <v>3.7325617071177355</v>
      </c>
      <c r="P43" s="29">
        <f t="shared" si="12"/>
        <v>65.7709275725838</v>
      </c>
      <c r="Q43" s="29">
        <f t="shared" si="13"/>
        <v>55.72806758976665</v>
      </c>
      <c r="R43" s="29">
        <f t="shared" si="14"/>
        <v>77.62363026117943</v>
      </c>
      <c r="S43" s="29">
        <f t="shared" si="15"/>
        <v>91.46728982431453</v>
      </c>
      <c r="T43" s="76">
        <f t="shared" si="16"/>
        <v>22.081790273476226</v>
      </c>
      <c r="U43" s="29">
        <f t="shared" si="17"/>
        <v>72.54626146399636</v>
      </c>
      <c r="V43" s="29">
        <f t="shared" si="4"/>
        <v>82.79697191230936</v>
      </c>
      <c r="W43" s="29">
        <f t="shared" si="18"/>
        <v>10.250710448313</v>
      </c>
      <c r="X43" s="1">
        <f t="shared" si="5"/>
        <v>88</v>
      </c>
      <c r="Y43" s="29">
        <f t="shared" si="19"/>
        <v>80.49626146399636</v>
      </c>
      <c r="Z43" s="3">
        <f t="shared" si="20"/>
        <v>1.05913185442508</v>
      </c>
      <c r="AB43" s="3">
        <f t="shared" si="21"/>
        <v>35.24170943894281</v>
      </c>
      <c r="AC43" s="3">
        <f t="shared" si="22"/>
        <v>3.7325617071177355</v>
      </c>
      <c r="AD43" s="29">
        <f t="shared" si="23"/>
        <v>65.7709275725838</v>
      </c>
      <c r="AE43" s="29">
        <f t="shared" si="24"/>
        <v>91.46728982431453</v>
      </c>
      <c r="AG43" s="29">
        <f t="shared" si="6"/>
        <v>75.0743144376296</v>
      </c>
    </row>
    <row r="44" spans="2:33" ht="12.75">
      <c r="B44" s="75">
        <f t="shared" si="25"/>
        <v>24.380273084089485</v>
      </c>
      <c r="C44" s="3">
        <f t="shared" si="7"/>
        <v>13.515375936407652</v>
      </c>
      <c r="D44" s="3">
        <f t="shared" si="8"/>
        <v>-21.842670738103035</v>
      </c>
      <c r="E44" s="3">
        <f t="shared" si="9"/>
        <v>25.685942686138844</v>
      </c>
      <c r="H44" s="3">
        <f t="shared" si="0"/>
        <v>5.241824182581683</v>
      </c>
      <c r="I44" s="3">
        <f t="shared" si="1"/>
        <v>10.223667241163337</v>
      </c>
      <c r="J44" s="3">
        <f t="shared" si="10"/>
        <v>11.489129323805807</v>
      </c>
      <c r="L44" s="28">
        <f t="shared" si="2"/>
        <v>0.3307230626046103</v>
      </c>
      <c r="M44" s="28"/>
      <c r="N44" s="3">
        <f t="shared" si="3"/>
        <v>37.79597316726635</v>
      </c>
      <c r="O44" s="3">
        <f t="shared" si="11"/>
        <v>3.289716052630028</v>
      </c>
      <c r="P44" s="29">
        <f t="shared" si="12"/>
        <v>62.16900982656495</v>
      </c>
      <c r="Q44" s="29">
        <f t="shared" si="13"/>
        <v>43.288926827726776</v>
      </c>
      <c r="R44" s="29">
        <f t="shared" si="14"/>
        <v>89.28347422879486</v>
      </c>
      <c r="S44" s="29">
        <f t="shared" si="15"/>
        <v>93.1874612281087</v>
      </c>
      <c r="T44" s="76">
        <f t="shared" si="16"/>
        <v>24.380273084089485</v>
      </c>
      <c r="U44" s="29">
        <f t="shared" si="17"/>
        <v>73.65866155177974</v>
      </c>
      <c r="V44" s="29">
        <f t="shared" si="4"/>
        <v>83.53034027480776</v>
      </c>
      <c r="W44" s="29">
        <f t="shared" si="18"/>
        <v>9.871678723028012</v>
      </c>
      <c r="X44" s="1">
        <f t="shared" si="5"/>
        <v>88</v>
      </c>
      <c r="Y44" s="29">
        <f t="shared" si="19"/>
        <v>81.60866155177975</v>
      </c>
      <c r="Z44" s="3">
        <f t="shared" si="20"/>
        <v>0.8703879744202819</v>
      </c>
      <c r="AB44" s="3">
        <f t="shared" si="21"/>
        <v>37.79597316726635</v>
      </c>
      <c r="AC44" s="3">
        <f t="shared" si="22"/>
        <v>3.289716052630028</v>
      </c>
      <c r="AD44" s="29">
        <f t="shared" si="23"/>
        <v>62.16900982656495</v>
      </c>
      <c r="AE44" s="29">
        <f t="shared" si="24"/>
        <v>93.1874612281087</v>
      </c>
      <c r="AG44" s="29">
        <f t="shared" si="6"/>
        <v>77.65457154332086</v>
      </c>
    </row>
    <row r="45" spans="2:33" ht="12.75">
      <c r="B45" s="75">
        <f t="shared" si="25"/>
        <v>26.918003852647093</v>
      </c>
      <c r="C45" s="3">
        <f t="shared" si="7"/>
        <v>9.457578021232747</v>
      </c>
      <c r="D45" s="3">
        <f t="shared" si="8"/>
        <v>-17.315763184049054</v>
      </c>
      <c r="E45" s="3">
        <f t="shared" si="9"/>
        <v>19.73021633621318</v>
      </c>
      <c r="H45" s="3">
        <f t="shared" si="0"/>
        <v>6.565472210206109</v>
      </c>
      <c r="I45" s="3">
        <f t="shared" si="1"/>
        <v>13.259104129251874</v>
      </c>
      <c r="J45" s="3">
        <f t="shared" si="10"/>
        <v>14.795582707461467</v>
      </c>
      <c r="L45" s="28">
        <f t="shared" si="2"/>
        <v>0.3064159791660064</v>
      </c>
      <c r="M45" s="28"/>
      <c r="N45" s="3">
        <f t="shared" si="3"/>
        <v>40.79421717503806</v>
      </c>
      <c r="O45" s="3">
        <f t="shared" si="11"/>
        <v>2.757188951704172</v>
      </c>
      <c r="P45" s="29">
        <f t="shared" si="12"/>
        <v>56.23868244421776</v>
      </c>
      <c r="Q45" s="29">
        <f t="shared" si="13"/>
        <v>30.408363661598205</v>
      </c>
      <c r="R45" s="29">
        <f t="shared" si="14"/>
        <v>104.01050968276063</v>
      </c>
      <c r="S45" s="29">
        <f t="shared" si="15"/>
        <v>94.90763263190289</v>
      </c>
      <c r="T45" s="76">
        <f t="shared" si="16"/>
        <v>26.918003852647093</v>
      </c>
      <c r="U45" s="29">
        <f t="shared" si="17"/>
        <v>74.71577152338931</v>
      </c>
      <c r="V45" s="29">
        <f t="shared" si="4"/>
        <v>84.18191518002274</v>
      </c>
      <c r="W45" s="29">
        <f t="shared" si="18"/>
        <v>9.466143656633434</v>
      </c>
      <c r="X45" s="1">
        <f t="shared" si="5"/>
        <v>88</v>
      </c>
      <c r="Y45" s="29">
        <f t="shared" si="19"/>
        <v>82.66577152338931</v>
      </c>
      <c r="Z45" s="3">
        <f t="shared" si="20"/>
        <v>0.6758774019057028</v>
      </c>
      <c r="AB45" s="3">
        <f t="shared" si="21"/>
        <v>40.79421717503806</v>
      </c>
      <c r="AC45" s="3">
        <f t="shared" si="22"/>
        <v>2.757188951704172</v>
      </c>
      <c r="AD45" s="29">
        <f t="shared" si="23"/>
        <v>56.23868244421776</v>
      </c>
      <c r="AE45" s="29">
        <f t="shared" si="24"/>
        <v>94.90763263190289</v>
      </c>
      <c r="AG45" s="29">
        <f t="shared" si="6"/>
        <v>80.23482864901213</v>
      </c>
    </row>
    <row r="46" spans="2:33" ht="12.75">
      <c r="B46" s="75">
        <f t="shared" si="25"/>
        <v>29.719885782738935</v>
      </c>
      <c r="C46" s="3">
        <f t="shared" si="7"/>
        <v>7.349795170717952</v>
      </c>
      <c r="D46" s="3">
        <f t="shared" si="8"/>
        <v>-13.98363827011445</v>
      </c>
      <c r="E46" s="3">
        <f t="shared" si="9"/>
        <v>15.797519688891619</v>
      </c>
      <c r="H46" s="3">
        <f t="shared" si="0"/>
        <v>9.951504547741198</v>
      </c>
      <c r="I46" s="3">
        <f t="shared" si="1"/>
        <v>18.378732928601426</v>
      </c>
      <c r="J46" s="3">
        <f t="shared" si="10"/>
        <v>20.900006383361994</v>
      </c>
      <c r="L46" s="28">
        <f t="shared" si="2"/>
        <v>0.28208605553280597</v>
      </c>
      <c r="M46" s="28"/>
      <c r="N46" s="3">
        <f t="shared" si="3"/>
        <v>44.31271860067638</v>
      </c>
      <c r="O46" s="3">
        <f t="shared" si="11"/>
        <v>2.1202251227996127</v>
      </c>
      <c r="P46" s="29">
        <f t="shared" si="12"/>
        <v>46.97646961835188</v>
      </c>
      <c r="Q46" s="29">
        <f t="shared" si="13"/>
        <v>17.98141828540253</v>
      </c>
      <c r="R46" s="29">
        <f t="shared" si="14"/>
        <v>122.72606436142063</v>
      </c>
      <c r="S46" s="29">
        <f t="shared" si="15"/>
        <v>96.62780403569707</v>
      </c>
      <c r="T46" s="76">
        <f t="shared" si="16"/>
        <v>29.719885782738935</v>
      </c>
      <c r="U46" s="29">
        <f t="shared" si="17"/>
        <v>75.71734709996532</v>
      </c>
      <c r="V46" s="29">
        <f t="shared" si="4"/>
        <v>84.75551370710022</v>
      </c>
      <c r="W46" s="29">
        <f t="shared" si="18"/>
        <v>9.038166607134897</v>
      </c>
      <c r="X46" s="1">
        <f t="shared" si="5"/>
        <v>88</v>
      </c>
      <c r="Y46" s="29">
        <f t="shared" si="19"/>
        <v>83.66734709996533</v>
      </c>
      <c r="Z46" s="3">
        <f t="shared" si="20"/>
        <v>0.47846875338568157</v>
      </c>
      <c r="AB46" s="3">
        <f t="shared" si="21"/>
        <v>44.31271860067638</v>
      </c>
      <c r="AC46" s="3">
        <f t="shared" si="22"/>
        <v>2.1202251227996127</v>
      </c>
      <c r="AD46" s="29">
        <f t="shared" si="23"/>
        <v>46.97646961835188</v>
      </c>
      <c r="AE46" s="29">
        <f t="shared" si="24"/>
        <v>96.62780403569707</v>
      </c>
      <c r="AG46" s="29">
        <f t="shared" si="6"/>
        <v>82.8150857547034</v>
      </c>
    </row>
    <row r="47" spans="2:33" ht="12.75">
      <c r="B47" s="75">
        <f t="shared" si="25"/>
        <v>32.81341424030548</v>
      </c>
      <c r="C47" s="3">
        <f t="shared" si="7"/>
        <v>6.137377180523687</v>
      </c>
      <c r="D47" s="3">
        <f t="shared" si="8"/>
        <v>-11.487436735626142</v>
      </c>
      <c r="E47" s="3">
        <f t="shared" si="9"/>
        <v>13.024154537282866</v>
      </c>
      <c r="H47" s="3">
        <f t="shared" si="0"/>
        <v>22.108279401789748</v>
      </c>
      <c r="I47" s="3">
        <f t="shared" si="1"/>
        <v>26.685877150256996</v>
      </c>
      <c r="J47" s="3">
        <f t="shared" si="10"/>
        <v>34.65417806536766</v>
      </c>
      <c r="L47" s="28">
        <f t="shared" si="2"/>
        <v>0.25803145727243226</v>
      </c>
      <c r="M47" s="28"/>
      <c r="N47" s="3">
        <f t="shared" si="3"/>
        <v>48.443705787400845</v>
      </c>
      <c r="O47" s="3">
        <f t="shared" si="11"/>
        <v>1.3979181874122713</v>
      </c>
      <c r="P47" s="29">
        <f t="shared" si="12"/>
        <v>33.86016869292837</v>
      </c>
      <c r="Q47" s="29">
        <f t="shared" si="13"/>
        <v>7.81670103479204</v>
      </c>
      <c r="R47" s="29">
        <f t="shared" si="14"/>
        <v>146.6745394010159</v>
      </c>
      <c r="S47" s="29">
        <f t="shared" si="15"/>
        <v>98.34797543949125</v>
      </c>
      <c r="T47" s="76">
        <f t="shared" si="16"/>
        <v>32.81341424030548</v>
      </c>
      <c r="U47" s="29">
        <f t="shared" si="17"/>
        <v>76.66333924567896</v>
      </c>
      <c r="V47" s="29">
        <f t="shared" si="4"/>
        <v>85.25609280310519</v>
      </c>
      <c r="W47" s="29">
        <f t="shared" si="18"/>
        <v>8.592753557426235</v>
      </c>
      <c r="X47" s="1">
        <f t="shared" si="5"/>
        <v>88</v>
      </c>
      <c r="Y47" s="29">
        <f t="shared" si="19"/>
        <v>84.61333924567896</v>
      </c>
      <c r="Z47" s="3">
        <f t="shared" si="20"/>
        <v>0.2885654936365003</v>
      </c>
      <c r="AB47" s="3">
        <f t="shared" si="21"/>
        <v>48.443705787400845</v>
      </c>
      <c r="AC47" s="3">
        <f t="shared" si="22"/>
        <v>1.3979181874122713</v>
      </c>
      <c r="AD47" s="29">
        <f t="shared" si="23"/>
        <v>33.86016869292837</v>
      </c>
      <c r="AE47" s="29">
        <f t="shared" si="24"/>
        <v>98.34797543949125</v>
      </c>
      <c r="AG47" s="29">
        <f t="shared" si="6"/>
        <v>85.39534286039466</v>
      </c>
    </row>
    <row r="48" spans="2:33" ht="12.75">
      <c r="B48" s="75">
        <f t="shared" si="25"/>
        <v>36.22894657055622</v>
      </c>
      <c r="C48" s="3">
        <f t="shared" si="7"/>
        <v>5.384006893812124</v>
      </c>
      <c r="D48" s="3">
        <f t="shared" si="8"/>
        <v>-9.55264820854683</v>
      </c>
      <c r="E48" s="3">
        <f t="shared" si="9"/>
        <v>10.965428310324656</v>
      </c>
      <c r="H48" s="3">
        <f t="shared" si="0"/>
        <v>57.7294545596499</v>
      </c>
      <c r="I48" s="3">
        <f t="shared" si="1"/>
        <v>4.293086489433665</v>
      </c>
      <c r="J48" s="3">
        <f t="shared" si="10"/>
        <v>57.88886348306072</v>
      </c>
      <c r="L48" s="28">
        <f t="shared" si="2"/>
        <v>0.23452323491150778</v>
      </c>
      <c r="M48" s="28"/>
      <c r="N48" s="3">
        <f t="shared" si="3"/>
        <v>53.29962297644667</v>
      </c>
      <c r="O48" s="3">
        <f t="shared" si="11"/>
        <v>0.9207232577997159</v>
      </c>
      <c r="P48" s="29">
        <f t="shared" si="12"/>
        <v>24.537101253185284</v>
      </c>
      <c r="Q48" s="29">
        <f t="shared" si="13"/>
        <v>3.3909252698132883</v>
      </c>
      <c r="R48" s="29">
        <f t="shared" si="14"/>
        <v>177.5531130894601</v>
      </c>
      <c r="S48" s="29">
        <f t="shared" si="15"/>
        <v>100.06814684328542</v>
      </c>
      <c r="T48" s="76">
        <f t="shared" si="16"/>
        <v>36.22894657055622</v>
      </c>
      <c r="U48" s="29">
        <f t="shared" si="17"/>
        <v>77.55377506718335</v>
      </c>
      <c r="V48" s="29">
        <f t="shared" si="4"/>
        <v>85.6894311650281</v>
      </c>
      <c r="W48" s="29">
        <f t="shared" si="18"/>
        <v>8.135656097844745</v>
      </c>
      <c r="X48" s="1">
        <f t="shared" si="5"/>
        <v>88</v>
      </c>
      <c r="Y48" s="29">
        <f t="shared" si="19"/>
        <v>85.50377506718335</v>
      </c>
      <c r="Z48" s="3">
        <f t="shared" si="20"/>
        <v>0.1727447975019612</v>
      </c>
      <c r="AB48" s="3">
        <f t="shared" si="21"/>
        <v>53.29962297644667</v>
      </c>
      <c r="AC48" s="3">
        <f t="shared" si="22"/>
        <v>0.9207232577997159</v>
      </c>
      <c r="AD48" s="29">
        <f t="shared" si="23"/>
        <v>24.537101253185284</v>
      </c>
      <c r="AE48" s="29">
        <f t="shared" si="24"/>
        <v>100.06814684328542</v>
      </c>
      <c r="AG48" s="29">
        <f t="shared" si="6"/>
        <v>87.97559996608592</v>
      </c>
    </row>
    <row r="49" spans="2:33" ht="12.75">
      <c r="B49" s="75">
        <f t="shared" si="25"/>
        <v>39.99999999999994</v>
      </c>
      <c r="C49" s="3">
        <f t="shared" si="7"/>
        <v>4.887776215508094</v>
      </c>
      <c r="D49" s="3">
        <f t="shared" si="8"/>
        <v>-8.001716859596817</v>
      </c>
      <c r="E49" s="3">
        <f t="shared" si="9"/>
        <v>9.376450769563213</v>
      </c>
      <c r="H49" s="3">
        <f t="shared" si="0"/>
        <v>24.457533323061103</v>
      </c>
      <c r="I49" s="3">
        <f t="shared" si="1"/>
        <v>-25.432175315088948</v>
      </c>
      <c r="J49" s="3">
        <f t="shared" si="10"/>
        <v>35.284082494888025</v>
      </c>
      <c r="L49" s="28">
        <f t="shared" si="2"/>
        <v>0.21179821922589373</v>
      </c>
      <c r="M49" s="28"/>
      <c r="N49" s="3">
        <f t="shared" si="3"/>
        <v>59.018437669998086</v>
      </c>
      <c r="O49" s="3">
        <f t="shared" si="11"/>
        <v>1.6726646549063222</v>
      </c>
      <c r="P49" s="29">
        <f t="shared" si="12"/>
        <v>49.35902733919882</v>
      </c>
      <c r="Q49" s="29">
        <f t="shared" si="13"/>
        <v>11.191228191091543</v>
      </c>
      <c r="R49" s="29">
        <f t="shared" si="14"/>
        <v>217.69849906296557</v>
      </c>
      <c r="S49" s="29">
        <f t="shared" si="15"/>
        <v>101.78831824707959</v>
      </c>
      <c r="T49" s="76">
        <f t="shared" si="16"/>
        <v>39.99999999999994</v>
      </c>
      <c r="U49" s="29">
        <f t="shared" si="17"/>
        <v>78.38867503632656</v>
      </c>
      <c r="V49" s="29">
        <f t="shared" si="4"/>
        <v>86.06179973983886</v>
      </c>
      <c r="W49" s="29">
        <f t="shared" si="18"/>
        <v>7.6731247035123005</v>
      </c>
      <c r="X49" s="1">
        <f t="shared" si="5"/>
        <v>88</v>
      </c>
      <c r="Y49" s="29">
        <f t="shared" si="19"/>
        <v>86.33867503632656</v>
      </c>
      <c r="Z49" s="3">
        <f t="shared" si="20"/>
        <v>0.2834139162170025</v>
      </c>
      <c r="AB49" s="3">
        <f t="shared" si="21"/>
        <v>53.50573801004898</v>
      </c>
      <c r="AC49" s="3">
        <f t="shared" si="22"/>
        <v>1.5164270749508908</v>
      </c>
      <c r="AD49" s="29">
        <f t="shared" si="23"/>
        <v>40.568774891833634</v>
      </c>
      <c r="AE49" s="29">
        <f t="shared" si="24"/>
        <v>100.93657124679324</v>
      </c>
      <c r="AG49" s="29">
        <f t="shared" si="6"/>
        <v>89.70411007149083</v>
      </c>
    </row>
    <row r="50" spans="2:33" ht="12.75">
      <c r="B50" s="75">
        <f t="shared" si="25"/>
        <v>44.163580546952424</v>
      </c>
      <c r="C50" s="3">
        <f t="shared" si="7"/>
        <v>4.54601008848463</v>
      </c>
      <c r="D50" s="3">
        <f t="shared" si="8"/>
        <v>-6.7205808254411075</v>
      </c>
      <c r="E50" s="3">
        <f t="shared" si="9"/>
        <v>8.113717665527357</v>
      </c>
      <c r="H50" s="3">
        <f t="shared" si="0"/>
        <v>10.506844085877</v>
      </c>
      <c r="I50" s="3">
        <f t="shared" si="1"/>
        <v>-17.06420469504424</v>
      </c>
      <c r="J50" s="3">
        <f t="shared" si="10"/>
        <v>20.039482391501494</v>
      </c>
      <c r="L50" s="28">
        <f t="shared" si="2"/>
        <v>0.1900557747771189</v>
      </c>
      <c r="M50" s="28"/>
      <c r="N50" s="3">
        <f t="shared" si="3"/>
        <v>65.77016675583221</v>
      </c>
      <c r="O50" s="3">
        <f t="shared" si="11"/>
        <v>3.2820292196631065</v>
      </c>
      <c r="P50" s="29">
        <f t="shared" si="12"/>
        <v>107.92980453737819</v>
      </c>
      <c r="Q50" s="29">
        <f t="shared" si="13"/>
        <v>43.08686319488968</v>
      </c>
      <c r="R50" s="29">
        <f t="shared" si="14"/>
        <v>270.3571771931235</v>
      </c>
      <c r="S50" s="29">
        <f t="shared" si="15"/>
        <v>103.50848965087377</v>
      </c>
      <c r="T50" s="76">
        <f t="shared" si="16"/>
        <v>44.163580546952424</v>
      </c>
      <c r="U50" s="29">
        <f t="shared" si="17"/>
        <v>79.16802175476543</v>
      </c>
      <c r="V50" s="29">
        <f t="shared" si="4"/>
        <v>86.37965475391009</v>
      </c>
      <c r="W50" s="29">
        <f t="shared" si="18"/>
        <v>7.211632999144655</v>
      </c>
      <c r="X50" s="1">
        <f t="shared" si="5"/>
        <v>88</v>
      </c>
      <c r="Y50" s="29">
        <f t="shared" si="19"/>
        <v>87.11802175476544</v>
      </c>
      <c r="Z50" s="3">
        <f t="shared" si="20"/>
        <v>0.49901488494737173</v>
      </c>
      <c r="AB50" s="3">
        <f t="shared" si="21"/>
        <v>53.50573801004898</v>
      </c>
      <c r="AC50" s="3">
        <f t="shared" si="22"/>
        <v>2.6700159697108807</v>
      </c>
      <c r="AD50" s="29">
        <f t="shared" si="23"/>
        <v>71.43058747899863</v>
      </c>
      <c r="AE50" s="29">
        <f t="shared" si="24"/>
        <v>101.71591796523211</v>
      </c>
      <c r="AG50" s="29">
        <f t="shared" si="6"/>
        <v>91.3435424918268</v>
      </c>
    </row>
    <row r="51" spans="2:33" ht="12.75">
      <c r="B51" s="75">
        <f t="shared" si="25"/>
        <v>48.76054616817894</v>
      </c>
      <c r="C51" s="3">
        <f t="shared" si="7"/>
        <v>4.3023382275806465</v>
      </c>
      <c r="D51" s="3">
        <f t="shared" si="8"/>
        <v>-5.634057093205051</v>
      </c>
      <c r="E51" s="3">
        <f t="shared" si="9"/>
        <v>7.088914836136483</v>
      </c>
      <c r="H51" s="3">
        <f t="shared" si="0"/>
        <v>6.755371572757258</v>
      </c>
      <c r="I51" s="3">
        <f t="shared" si="1"/>
        <v>-11.620913774426144</v>
      </c>
      <c r="J51" s="3">
        <f t="shared" si="10"/>
        <v>13.441751449817252</v>
      </c>
      <c r="L51" s="28">
        <f t="shared" si="2"/>
        <v>0.16945746666152245</v>
      </c>
      <c r="M51" s="28"/>
      <c r="N51" s="3">
        <f t="shared" si="3"/>
        <v>73.76482279749725</v>
      </c>
      <c r="O51" s="3">
        <f t="shared" si="11"/>
        <v>5.487738935873578</v>
      </c>
      <c r="P51" s="29">
        <f t="shared" si="12"/>
        <v>202.40104508182029</v>
      </c>
      <c r="Q51" s="29">
        <f t="shared" si="13"/>
        <v>120.46111451321148</v>
      </c>
      <c r="R51" s="29">
        <f t="shared" si="14"/>
        <v>340.0780676466356</v>
      </c>
      <c r="S51" s="29">
        <f t="shared" si="15"/>
        <v>105.22866105466795</v>
      </c>
      <c r="T51" s="76">
        <f t="shared" si="16"/>
        <v>48.76054616817894</v>
      </c>
      <c r="U51" s="29">
        <f t="shared" si="17"/>
        <v>79.89178594903416</v>
      </c>
      <c r="V51" s="29">
        <f t="shared" si="4"/>
        <v>86.6493769645161</v>
      </c>
      <c r="W51" s="29">
        <f t="shared" si="18"/>
        <v>6.757591015481935</v>
      </c>
      <c r="X51" s="1">
        <f t="shared" si="5"/>
        <v>88</v>
      </c>
      <c r="Y51" s="29">
        <f t="shared" si="19"/>
        <v>87.84178594903416</v>
      </c>
      <c r="Z51" s="3">
        <f t="shared" si="20"/>
        <v>0.7439506702183484</v>
      </c>
      <c r="AB51" s="3">
        <f t="shared" si="21"/>
        <v>53.50573801004898</v>
      </c>
      <c r="AC51" s="3">
        <f t="shared" si="22"/>
        <v>3.9805629653103294</v>
      </c>
      <c r="AD51" s="29">
        <f t="shared" si="23"/>
        <v>106.49147957719909</v>
      </c>
      <c r="AE51" s="29">
        <f t="shared" si="24"/>
        <v>102.43968215950085</v>
      </c>
      <c r="AG51" s="29">
        <f t="shared" si="6"/>
        <v>92.92739238799263</v>
      </c>
    </row>
    <row r="52" spans="2:33" ht="12.75">
      <c r="B52" s="75">
        <f t="shared" si="25"/>
        <v>53.83600770529416</v>
      </c>
      <c r="C52" s="3">
        <f t="shared" si="7"/>
        <v>4.12381773773792</v>
      </c>
      <c r="D52" s="3">
        <f t="shared" si="8"/>
        <v>-4.690915135259845</v>
      </c>
      <c r="E52" s="3">
        <f t="shared" si="9"/>
        <v>6.245843220918356</v>
      </c>
      <c r="H52" s="3">
        <f t="shared" si="0"/>
        <v>5.326190070377514</v>
      </c>
      <c r="I52" s="3">
        <f t="shared" si="1"/>
        <v>-8.381001097643578</v>
      </c>
      <c r="J52" s="3">
        <f t="shared" si="10"/>
        <v>9.930230614869469</v>
      </c>
      <c r="L52" s="28">
        <f t="shared" si="2"/>
        <v>0.15012848088779318</v>
      </c>
      <c r="M52" s="28"/>
      <c r="N52" s="3">
        <f t="shared" si="3"/>
        <v>83.26201614830543</v>
      </c>
      <c r="O52" s="3">
        <f t="shared" si="11"/>
        <v>8.384701159269088</v>
      </c>
      <c r="P52" s="29">
        <f t="shared" si="12"/>
        <v>349.0635616608891</v>
      </c>
      <c r="Q52" s="29">
        <f t="shared" si="13"/>
        <v>281.2128541209936</v>
      </c>
      <c r="R52" s="29">
        <f t="shared" si="14"/>
        <v>433.2852083175422</v>
      </c>
      <c r="S52" s="29">
        <f t="shared" si="15"/>
        <v>106.94883245846214</v>
      </c>
      <c r="T52" s="76">
        <f t="shared" si="16"/>
        <v>53.83600770529416</v>
      </c>
      <c r="U52" s="29">
        <f t="shared" si="17"/>
        <v>80.56000496399676</v>
      </c>
      <c r="V52" s="29">
        <f t="shared" si="4"/>
        <v>86.87706935657054</v>
      </c>
      <c r="W52" s="29">
        <f t="shared" si="18"/>
        <v>6.3170643925737835</v>
      </c>
      <c r="X52" s="1">
        <f t="shared" si="5"/>
        <v>88</v>
      </c>
      <c r="Y52" s="29">
        <f t="shared" si="19"/>
        <v>88.51000496399676</v>
      </c>
      <c r="Z52" s="3">
        <f t="shared" si="20"/>
        <v>1.0070259581913494</v>
      </c>
      <c r="AB52" s="3">
        <f t="shared" si="21"/>
        <v>53.50573801004898</v>
      </c>
      <c r="AC52" s="3">
        <f t="shared" si="22"/>
        <v>5.388166708830488</v>
      </c>
      <c r="AD52" s="29">
        <f t="shared" si="23"/>
        <v>144.14891813857597</v>
      </c>
      <c r="AE52" s="29">
        <f t="shared" si="24"/>
        <v>103.10790117446345</v>
      </c>
      <c r="AG52" s="29">
        <f t="shared" si="6"/>
        <v>94.4556971048523</v>
      </c>
    </row>
    <row r="53" spans="2:33" ht="12.75">
      <c r="B53" s="75">
        <f t="shared" si="25"/>
        <v>59.439771565477834</v>
      </c>
      <c r="C53" s="3">
        <f t="shared" si="7"/>
        <v>3.990178292444633</v>
      </c>
      <c r="D53" s="3">
        <f t="shared" si="8"/>
        <v>-3.8550282945512304</v>
      </c>
      <c r="E53" s="3">
        <f t="shared" si="9"/>
        <v>5.548221873473242</v>
      </c>
      <c r="H53" s="3">
        <f t="shared" si="0"/>
        <v>4.644966709251262</v>
      </c>
      <c r="I53" s="3">
        <f t="shared" si="1"/>
        <v>-6.24263669211288</v>
      </c>
      <c r="J53" s="3">
        <f t="shared" si="10"/>
        <v>7.78114571253916</v>
      </c>
      <c r="L53" s="28">
        <f t="shared" si="2"/>
        <v>0.13215975922464931</v>
      </c>
      <c r="M53" s="28"/>
      <c r="N53" s="3">
        <f t="shared" si="3"/>
        <v>94.58249677008043</v>
      </c>
      <c r="O53" s="3">
        <f t="shared" si="11"/>
        <v>12.155343218629442</v>
      </c>
      <c r="P53" s="29">
        <f t="shared" si="12"/>
        <v>574.8413553576191</v>
      </c>
      <c r="Q53" s="29">
        <f t="shared" si="13"/>
        <v>591.009475050723</v>
      </c>
      <c r="R53" s="29">
        <f t="shared" si="14"/>
        <v>559.1155434538921</v>
      </c>
      <c r="S53" s="29">
        <f t="shared" si="15"/>
        <v>108.66900386225632</v>
      </c>
      <c r="T53" s="76">
        <f t="shared" si="16"/>
        <v>59.439771565477834</v>
      </c>
      <c r="U53" s="29">
        <f t="shared" si="17"/>
        <v>81.17289934083497</v>
      </c>
      <c r="V53" s="29">
        <f t="shared" si="4"/>
        <v>87.06841543425867</v>
      </c>
      <c r="W53" s="29">
        <f t="shared" si="18"/>
        <v>5.895516093423694</v>
      </c>
      <c r="X53" s="1">
        <f t="shared" si="5"/>
        <v>88</v>
      </c>
      <c r="Y53" s="29">
        <f t="shared" si="19"/>
        <v>89.12289934083498</v>
      </c>
      <c r="Z53" s="3">
        <f t="shared" si="20"/>
        <v>1.2851577864536325</v>
      </c>
      <c r="AB53" s="3">
        <f t="shared" si="21"/>
        <v>53.50573801004898</v>
      </c>
      <c r="AC53" s="3">
        <f t="shared" si="22"/>
        <v>6.876331582356253</v>
      </c>
      <c r="AD53" s="29">
        <f t="shared" si="23"/>
        <v>183.9615980578896</v>
      </c>
      <c r="AE53" s="29">
        <f t="shared" si="24"/>
        <v>103.72079555130166</v>
      </c>
      <c r="AG53" s="29">
        <f t="shared" si="6"/>
        <v>95.92867718358761</v>
      </c>
    </row>
    <row r="54" spans="2:33" ht="12.75">
      <c r="B54" s="75">
        <f t="shared" si="25"/>
        <v>65.62682848061091</v>
      </c>
      <c r="C54" s="3">
        <f t="shared" si="7"/>
        <v>3.8883978712259655</v>
      </c>
      <c r="D54" s="3">
        <f t="shared" si="8"/>
        <v>-3.100044729771891</v>
      </c>
      <c r="E54" s="3">
        <f t="shared" si="9"/>
        <v>4.972918190714693</v>
      </c>
      <c r="H54" s="3">
        <f t="shared" si="0"/>
        <v>4.270770158339095</v>
      </c>
      <c r="I54" s="3">
        <f t="shared" si="1"/>
        <v>-4.69952753557167</v>
      </c>
      <c r="J54" s="3">
        <f t="shared" si="10"/>
        <v>6.350199745122675</v>
      </c>
      <c r="L54" s="28">
        <f t="shared" si="2"/>
        <v>0.11561015649433</v>
      </c>
      <c r="M54" s="28"/>
      <c r="N54" s="3">
        <f t="shared" si="3"/>
        <v>108.12198840517141</v>
      </c>
      <c r="O54" s="3">
        <f t="shared" si="11"/>
        <v>17.026549202364134</v>
      </c>
      <c r="P54" s="29">
        <f t="shared" si="12"/>
        <v>920.4721777190476</v>
      </c>
      <c r="Q54" s="29">
        <f t="shared" si="13"/>
        <v>1159.6135109621068</v>
      </c>
      <c r="R54" s="29">
        <f t="shared" si="14"/>
        <v>730.6477735430012</v>
      </c>
      <c r="S54" s="29">
        <f t="shared" si="15"/>
        <v>110.38917526605047</v>
      </c>
      <c r="T54" s="76">
        <f t="shared" si="16"/>
        <v>65.62682848061091</v>
      </c>
      <c r="U54" s="29">
        <f t="shared" si="17"/>
        <v>81.73100575077251</v>
      </c>
      <c r="V54" s="29">
        <f t="shared" si="4"/>
        <v>87.22859300885098</v>
      </c>
      <c r="W54" s="29">
        <f t="shared" si="18"/>
        <v>5.497587258078468</v>
      </c>
      <c r="X54" s="1">
        <f t="shared" si="5"/>
        <v>88</v>
      </c>
      <c r="Y54" s="29">
        <f t="shared" si="19"/>
        <v>89.68100575077251</v>
      </c>
      <c r="Z54" s="3">
        <f t="shared" si="20"/>
        <v>1.5747536142749818</v>
      </c>
      <c r="AB54" s="3">
        <f t="shared" si="21"/>
        <v>53.50573801004898</v>
      </c>
      <c r="AC54" s="3">
        <f t="shared" si="22"/>
        <v>8.42583543157749</v>
      </c>
      <c r="AD54" s="29">
        <f t="shared" si="23"/>
        <v>225.41527155888656</v>
      </c>
      <c r="AE54" s="29">
        <f t="shared" si="24"/>
        <v>104.2789019612392</v>
      </c>
      <c r="AG54" s="29">
        <f t="shared" si="6"/>
        <v>97.34686929542224</v>
      </c>
    </row>
    <row r="55" spans="2:33" ht="12.75">
      <c r="B55" s="75">
        <f t="shared" si="25"/>
        <v>72.4578931411124</v>
      </c>
      <c r="C55" s="3">
        <f t="shared" si="7"/>
        <v>3.809800411543408</v>
      </c>
      <c r="D55" s="3">
        <f t="shared" si="8"/>
        <v>-2.406092521384384</v>
      </c>
      <c r="E55" s="3">
        <f t="shared" si="9"/>
        <v>4.505980514522691</v>
      </c>
      <c r="H55" s="3">
        <f t="shared" si="0"/>
        <v>4.044567367146466</v>
      </c>
      <c r="I55" s="3">
        <f t="shared" si="1"/>
        <v>-3.505155644218111</v>
      </c>
      <c r="J55" s="3">
        <f t="shared" si="10"/>
        <v>5.352068878254481</v>
      </c>
      <c r="L55" s="28">
        <f t="shared" si="2"/>
        <v>0.10050836008552223</v>
      </c>
      <c r="M55" s="28"/>
      <c r="N55" s="3">
        <f t="shared" si="3"/>
        <v>124.36776392892881</v>
      </c>
      <c r="O55" s="3">
        <f t="shared" si="11"/>
        <v>23.237324996738458</v>
      </c>
      <c r="P55" s="29">
        <f t="shared" si="12"/>
        <v>1444.9870747670825</v>
      </c>
      <c r="Q55" s="29">
        <f t="shared" si="13"/>
        <v>2159.893092016184</v>
      </c>
      <c r="R55" s="29">
        <f t="shared" si="14"/>
        <v>966.7087940426104</v>
      </c>
      <c r="S55" s="29">
        <f t="shared" si="15"/>
        <v>112.10934666984465</v>
      </c>
      <c r="T55" s="76">
        <f t="shared" si="16"/>
        <v>72.4578931411124</v>
      </c>
      <c r="U55" s="29">
        <f t="shared" si="17"/>
        <v>82.23530111348322</v>
      </c>
      <c r="V55" s="29">
        <f t="shared" si="4"/>
        <v>87.36223424480164</v>
      </c>
      <c r="W55" s="29">
        <f t="shared" si="18"/>
        <v>5.126933131318424</v>
      </c>
      <c r="X55" s="1">
        <f t="shared" si="5"/>
        <v>88</v>
      </c>
      <c r="Y55" s="29">
        <f t="shared" si="19"/>
        <v>90.18530111348322</v>
      </c>
      <c r="Z55" s="3">
        <f t="shared" si="20"/>
        <v>1.8684363425571966</v>
      </c>
      <c r="AB55" s="3">
        <f t="shared" si="21"/>
        <v>53.50573801004898</v>
      </c>
      <c r="AC55" s="3">
        <f t="shared" si="22"/>
        <v>9.997206543331949</v>
      </c>
      <c r="AD55" s="29">
        <f t="shared" si="23"/>
        <v>267.4539570699333</v>
      </c>
      <c r="AE55" s="29">
        <f t="shared" si="24"/>
        <v>104.7831973239499</v>
      </c>
      <c r="AG55" s="29">
        <f t="shared" si="6"/>
        <v>98.71125036003004</v>
      </c>
    </row>
    <row r="56" spans="2:33" ht="12.75">
      <c r="B56" s="75">
        <f t="shared" si="25"/>
        <v>79.99999999999984</v>
      </c>
      <c r="C56" s="3">
        <f t="shared" si="7"/>
        <v>3.7484229610813644</v>
      </c>
      <c r="D56" s="3">
        <f t="shared" si="8"/>
        <v>-1.757683563385815</v>
      </c>
      <c r="E56" s="3">
        <f t="shared" si="9"/>
        <v>4.140063550739124</v>
      </c>
      <c r="H56" s="3">
        <f t="shared" si="0"/>
        <v>3.898193305819925</v>
      </c>
      <c r="I56" s="3">
        <f t="shared" si="1"/>
        <v>-2.5274933853832384</v>
      </c>
      <c r="J56" s="3">
        <f t="shared" si="10"/>
        <v>4.645872777282574</v>
      </c>
      <c r="L56" s="28">
        <f t="shared" si="2"/>
        <v>0.08685468894079106</v>
      </c>
      <c r="M56" s="28"/>
      <c r="N56" s="3">
        <f t="shared" si="3"/>
        <v>143.91853971777235</v>
      </c>
      <c r="O56" s="3">
        <f t="shared" si="11"/>
        <v>30.97771863696018</v>
      </c>
      <c r="P56" s="29">
        <f t="shared" si="12"/>
        <v>2229.1340150096653</v>
      </c>
      <c r="Q56" s="29">
        <f t="shared" si="13"/>
        <v>3838.47620780268</v>
      </c>
      <c r="R56" s="29">
        <f t="shared" si="14"/>
        <v>1294.5341296560011</v>
      </c>
      <c r="S56" s="29">
        <f t="shared" si="15"/>
        <v>113.82951807363884</v>
      </c>
      <c r="T56" s="76">
        <f t="shared" si="16"/>
        <v>79.99999999999984</v>
      </c>
      <c r="U56" s="29">
        <f t="shared" si="17"/>
        <v>82.6872941621848</v>
      </c>
      <c r="V56" s="29">
        <f t="shared" si="4"/>
        <v>87.47342122555301</v>
      </c>
      <c r="W56" s="29">
        <f t="shared" si="18"/>
        <v>4.7861270633682125</v>
      </c>
      <c r="X56" s="1">
        <f t="shared" si="5"/>
        <v>88</v>
      </c>
      <c r="Y56" s="29">
        <f t="shared" si="19"/>
        <v>90.6372941621848</v>
      </c>
      <c r="Z56" s="3">
        <f t="shared" si="20"/>
        <v>2.152448093046818</v>
      </c>
      <c r="AB56" s="3">
        <f t="shared" si="21"/>
        <v>53.50573801004898</v>
      </c>
      <c r="AC56" s="3">
        <f t="shared" si="22"/>
        <v>11.516832374679256</v>
      </c>
      <c r="AD56" s="29">
        <f t="shared" si="23"/>
        <v>308.10830787261926</v>
      </c>
      <c r="AE56" s="29">
        <f t="shared" si="24"/>
        <v>105.23519037265149</v>
      </c>
      <c r="AG56" s="29">
        <f t="shared" si="6"/>
        <v>100.02332911062871</v>
      </c>
    </row>
    <row r="57" spans="2:33" ht="12.75">
      <c r="B57" s="75">
        <f t="shared" si="25"/>
        <v>88.3271610939048</v>
      </c>
      <c r="C57" s="3">
        <f t="shared" si="7"/>
        <v>3.700056617779474</v>
      </c>
      <c r="D57" s="3">
        <f t="shared" si="8"/>
        <v>-1.1423420867124254</v>
      </c>
      <c r="E57" s="3">
        <f t="shared" si="9"/>
        <v>3.8723848488816524</v>
      </c>
      <c r="H57" s="3">
        <f t="shared" si="0"/>
        <v>3.798593560789393</v>
      </c>
      <c r="I57" s="3">
        <f t="shared" si="1"/>
        <v>-1.6896387249091576</v>
      </c>
      <c r="J57" s="3">
        <f t="shared" si="10"/>
        <v>4.15742613413435</v>
      </c>
      <c r="L57" s="28">
        <f t="shared" si="2"/>
        <v>0.07462310939605475</v>
      </c>
      <c r="M57" s="28"/>
      <c r="N57" s="3">
        <f t="shared" si="3"/>
        <v>167.50843138494122</v>
      </c>
      <c r="O57" s="3">
        <f t="shared" si="11"/>
        <v>40.29137884366031</v>
      </c>
      <c r="P57" s="29">
        <f t="shared" si="12"/>
        <v>3374.5728342189727</v>
      </c>
      <c r="Q57" s="29">
        <f t="shared" si="13"/>
        <v>6493.580836493431</v>
      </c>
      <c r="R57" s="29">
        <f t="shared" si="14"/>
        <v>1753.6921615652225</v>
      </c>
      <c r="S57" s="29">
        <f t="shared" si="15"/>
        <v>115.54968947743299</v>
      </c>
      <c r="T57" s="76">
        <f t="shared" si="16"/>
        <v>88.3271610939048</v>
      </c>
      <c r="U57" s="29">
        <f t="shared" si="17"/>
        <v>83.08906700619013</v>
      </c>
      <c r="V57" s="29">
        <f t="shared" si="4"/>
        <v>87.5657066469345</v>
      </c>
      <c r="W57" s="29">
        <f t="shared" si="18"/>
        <v>4.4766396407443665</v>
      </c>
      <c r="X57" s="1">
        <f t="shared" si="5"/>
        <v>88</v>
      </c>
      <c r="Y57" s="29">
        <f t="shared" si="19"/>
        <v>91.03906700619014</v>
      </c>
      <c r="Z57" s="3">
        <f t="shared" si="20"/>
        <v>2.4053343769346793</v>
      </c>
      <c r="AB57" s="3">
        <f t="shared" si="21"/>
        <v>53.50573801004898</v>
      </c>
      <c r="AC57" s="3">
        <f t="shared" si="22"/>
        <v>12</v>
      </c>
      <c r="AD57" s="29">
        <f t="shared" si="23"/>
        <v>321.03442806029386</v>
      </c>
      <c r="AE57" s="29">
        <f t="shared" si="24"/>
        <v>105.02907179872092</v>
      </c>
      <c r="AG57" s="29">
        <f t="shared" si="6"/>
        <v>100.67729623859522</v>
      </c>
    </row>
    <row r="58" spans="2:33" ht="12.75">
      <c r="B58" s="75">
        <f t="shared" si="25"/>
        <v>97.52109233635782</v>
      </c>
      <c r="C58" s="3">
        <f t="shared" si="7"/>
        <v>3.661661746297482</v>
      </c>
      <c r="D58" s="3">
        <f t="shared" si="8"/>
        <v>-0.5496826677005435</v>
      </c>
      <c r="E58" s="3">
        <f t="shared" si="9"/>
        <v>3.7026906135226465</v>
      </c>
      <c r="H58" s="3">
        <f t="shared" si="0"/>
        <v>3.7281877957126928</v>
      </c>
      <c r="I58" s="3">
        <f t="shared" si="1"/>
        <v>-0.9434787560441538</v>
      </c>
      <c r="J58" s="3">
        <f t="shared" si="10"/>
        <v>3.8457166306434605</v>
      </c>
      <c r="L58" s="28">
        <f t="shared" si="2"/>
        <v>0.06376382668325759</v>
      </c>
      <c r="M58" s="28"/>
      <c r="N58" s="3">
        <f t="shared" si="3"/>
        <v>196.03591331011057</v>
      </c>
      <c r="O58" s="3">
        <f t="shared" si="11"/>
        <v>50.975132111413544</v>
      </c>
      <c r="P58" s="29">
        <f t="shared" si="12"/>
        <v>4996.47828978225</v>
      </c>
      <c r="Q58" s="29">
        <f t="shared" si="13"/>
        <v>10393.856375104257</v>
      </c>
      <c r="R58" s="29">
        <f t="shared" si="14"/>
        <v>2401.879956708074</v>
      </c>
      <c r="S58" s="29">
        <f t="shared" si="15"/>
        <v>117.26986088122717</v>
      </c>
      <c r="T58" s="76">
        <f t="shared" si="16"/>
        <v>97.52109233635782</v>
      </c>
      <c r="U58" s="29">
        <f t="shared" si="17"/>
        <v>83.44325903772591</v>
      </c>
      <c r="V58" s="29">
        <f t="shared" si="4"/>
        <v>87.64215064732454</v>
      </c>
      <c r="W58" s="29">
        <f t="shared" si="18"/>
        <v>4.198891609598633</v>
      </c>
      <c r="X58" s="1">
        <f t="shared" si="5"/>
        <v>88</v>
      </c>
      <c r="Y58" s="29">
        <f t="shared" si="19"/>
        <v>91.39325903772591</v>
      </c>
      <c r="Z58" s="3">
        <f t="shared" si="20"/>
        <v>2.6002955912866654</v>
      </c>
      <c r="AB58" s="3">
        <f t="shared" si="21"/>
        <v>53.50573801004898</v>
      </c>
      <c r="AC58" s="3">
        <f t="shared" si="22"/>
        <v>12</v>
      </c>
      <c r="AD58" s="29">
        <f t="shared" si="23"/>
        <v>321.03442806029386</v>
      </c>
      <c r="AE58" s="29">
        <f t="shared" si="24"/>
        <v>104.70631860206927</v>
      </c>
      <c r="AG58" s="29">
        <f t="shared" si="6"/>
        <v>101.21462874384066</v>
      </c>
    </row>
    <row r="59" spans="2:33" ht="12.75">
      <c r="B59" s="75">
        <f t="shared" si="25"/>
        <v>107.67201541058824</v>
      </c>
      <c r="C59" s="3">
        <f t="shared" si="7"/>
        <v>3.63099948597312</v>
      </c>
      <c r="D59" s="3">
        <f t="shared" si="8"/>
        <v>0.029226136497458644</v>
      </c>
      <c r="E59" s="3">
        <f t="shared" si="9"/>
        <v>3.631117105546395</v>
      </c>
      <c r="H59" s="3">
        <f t="shared" si="0"/>
        <v>3.676929551803462</v>
      </c>
      <c r="I59" s="3">
        <f t="shared" si="1"/>
        <v>-0.2569601853187322</v>
      </c>
      <c r="J59" s="3">
        <f t="shared" si="10"/>
        <v>3.6858973759133127</v>
      </c>
      <c r="L59" s="28">
        <f t="shared" si="2"/>
        <v>0.05420666268175085</v>
      </c>
      <c r="M59" s="28"/>
      <c r="N59" s="3">
        <f t="shared" si="3"/>
        <v>230.59895927162907</v>
      </c>
      <c r="O59" s="3">
        <f t="shared" si="11"/>
        <v>62.562501272702946</v>
      </c>
      <c r="P59" s="29">
        <f t="shared" si="12"/>
        <v>7213.423841457634</v>
      </c>
      <c r="Q59" s="29">
        <f t="shared" si="13"/>
        <v>15656.26626198783</v>
      </c>
      <c r="R59" s="29">
        <f t="shared" si="14"/>
        <v>3323.492501072403</v>
      </c>
      <c r="S59" s="29">
        <f t="shared" si="15"/>
        <v>118.99003228502136</v>
      </c>
      <c r="T59" s="76">
        <f t="shared" si="16"/>
        <v>107.67201541058824</v>
      </c>
      <c r="U59" s="29">
        <f t="shared" si="17"/>
        <v>83.75299639010106</v>
      </c>
      <c r="V59" s="29">
        <f t="shared" si="4"/>
        <v>87.70536661323098</v>
      </c>
      <c r="W59" s="29">
        <f t="shared" si="18"/>
        <v>3.9523702231299183</v>
      </c>
      <c r="X59" s="1">
        <f t="shared" si="5"/>
        <v>88</v>
      </c>
      <c r="Y59" s="29">
        <f t="shared" si="19"/>
        <v>91.70299639010106</v>
      </c>
      <c r="Z59" s="3">
        <f t="shared" si="20"/>
        <v>2.7130435224128133</v>
      </c>
      <c r="AB59" s="3">
        <f t="shared" si="21"/>
        <v>53.50573801004898</v>
      </c>
      <c r="AC59" s="3">
        <f t="shared" si="22"/>
        <v>12</v>
      </c>
      <c r="AD59" s="29">
        <f t="shared" si="23"/>
        <v>321.03442806029386</v>
      </c>
      <c r="AE59" s="29">
        <f t="shared" si="24"/>
        <v>104.64737513280976</v>
      </c>
      <c r="AG59" s="29">
        <f t="shared" si="6"/>
        <v>102.01577097647824</v>
      </c>
    </row>
    <row r="60" spans="2:33" ht="12.75">
      <c r="B60" s="75">
        <f t="shared" si="25"/>
        <v>118.8795431309556</v>
      </c>
      <c r="C60" s="3">
        <f t="shared" si="7"/>
        <v>3.606392663813617</v>
      </c>
      <c r="D60" s="3">
        <f t="shared" si="8"/>
        <v>0.6023127104545951</v>
      </c>
      <c r="E60" s="3">
        <f t="shared" si="9"/>
        <v>3.6563436171650823</v>
      </c>
      <c r="H60" s="3">
        <f t="shared" si="0"/>
        <v>3.6387380641112035</v>
      </c>
      <c r="I60" s="3">
        <f t="shared" si="1"/>
        <v>0.3925387789328525</v>
      </c>
      <c r="J60" s="3">
        <f t="shared" si="10"/>
        <v>3.6598499138868856</v>
      </c>
      <c r="L60" s="28">
        <f t="shared" si="2"/>
        <v>0.045865195302692875</v>
      </c>
      <c r="M60" s="28"/>
      <c r="N60" s="3">
        <f t="shared" si="3"/>
        <v>272.537812550557</v>
      </c>
      <c r="O60" s="3">
        <f t="shared" si="11"/>
        <v>74.46693688624858</v>
      </c>
      <c r="P60" s="29">
        <f t="shared" si="12"/>
        <v>10147.528043159287</v>
      </c>
      <c r="Q60" s="29">
        <f t="shared" si="13"/>
        <v>22181.298756882115</v>
      </c>
      <c r="R60" s="29">
        <f t="shared" si="14"/>
        <v>4642.303704365159</v>
      </c>
      <c r="S60" s="29">
        <f t="shared" si="15"/>
        <v>120.71020368881554</v>
      </c>
      <c r="T60" s="76">
        <f t="shared" si="16"/>
        <v>118.8795431309556</v>
      </c>
      <c r="U60" s="29">
        <f t="shared" si="17"/>
        <v>84.02177933536291</v>
      </c>
      <c r="V60" s="29">
        <f t="shared" si="4"/>
        <v>87.75757064107296</v>
      </c>
      <c r="W60" s="29">
        <f t="shared" si="18"/>
        <v>3.735791305710052</v>
      </c>
      <c r="X60" s="1">
        <f t="shared" si="5"/>
        <v>88</v>
      </c>
      <c r="Y60" s="29">
        <f t="shared" si="19"/>
        <v>91.97177933536291</v>
      </c>
      <c r="Z60" s="3">
        <f t="shared" si="20"/>
        <v>2.732352483104876</v>
      </c>
      <c r="AB60" s="3">
        <f t="shared" si="21"/>
        <v>53.50573801004898</v>
      </c>
      <c r="AC60" s="3">
        <f t="shared" si="22"/>
        <v>12</v>
      </c>
      <c r="AD60" s="29">
        <f t="shared" si="23"/>
        <v>321.03442806029386</v>
      </c>
      <c r="AE60" s="29">
        <f t="shared" si="24"/>
        <v>104.85455880986034</v>
      </c>
      <c r="AG60" s="29">
        <f t="shared" si="6"/>
        <v>103.08304035542591</v>
      </c>
    </row>
    <row r="61" spans="2:33" ht="12.75">
      <c r="B61" s="75">
        <f t="shared" si="25"/>
        <v>131.25365696122176</v>
      </c>
      <c r="C61" s="3">
        <f t="shared" si="7"/>
        <v>3.5865665455524107</v>
      </c>
      <c r="D61" s="3">
        <f t="shared" si="8"/>
        <v>1.1768306908995472</v>
      </c>
      <c r="E61" s="3">
        <f t="shared" si="9"/>
        <v>3.7747039699450418</v>
      </c>
      <c r="H61" s="3">
        <f t="shared" si="0"/>
        <v>3.6097555394193677</v>
      </c>
      <c r="I61" s="3">
        <f t="shared" si="1"/>
        <v>1.021884534399966</v>
      </c>
      <c r="J61" s="3">
        <f t="shared" si="10"/>
        <v>3.7516107282092377</v>
      </c>
      <c r="L61" s="28">
        <f t="shared" si="2"/>
        <v>0.03864141158298789</v>
      </c>
      <c r="M61" s="28"/>
      <c r="N61" s="3">
        <f t="shared" si="3"/>
        <v>323.4871472838016</v>
      </c>
      <c r="O61" s="3">
        <f t="shared" si="11"/>
        <v>86.22620274844247</v>
      </c>
      <c r="P61" s="29">
        <f t="shared" si="12"/>
        <v>13946.534174104176</v>
      </c>
      <c r="Q61" s="29">
        <f t="shared" si="13"/>
        <v>29739.832161662034</v>
      </c>
      <c r="R61" s="29">
        <f t="shared" si="14"/>
        <v>6540.245903613248</v>
      </c>
      <c r="S61" s="29">
        <f t="shared" si="15"/>
        <v>122.43037509260972</v>
      </c>
      <c r="T61" s="76">
        <f t="shared" si="16"/>
        <v>131.25365696122176</v>
      </c>
      <c r="U61" s="29">
        <f t="shared" si="17"/>
        <v>84.25334545500269</v>
      </c>
      <c r="V61" s="29">
        <f t="shared" si="4"/>
        <v>87.80063096178102</v>
      </c>
      <c r="W61" s="29">
        <f t="shared" si="18"/>
        <v>3.547285506778337</v>
      </c>
      <c r="X61" s="1">
        <f t="shared" si="5"/>
        <v>88</v>
      </c>
      <c r="Y61" s="29">
        <f t="shared" si="19"/>
        <v>92.20334545500269</v>
      </c>
      <c r="Z61" s="3">
        <f t="shared" si="20"/>
        <v>2.665521751712581</v>
      </c>
      <c r="AB61" s="3">
        <f t="shared" si="21"/>
        <v>53.50573801004898</v>
      </c>
      <c r="AC61" s="3">
        <f t="shared" si="22"/>
        <v>12</v>
      </c>
      <c r="AD61" s="29">
        <f t="shared" si="23"/>
        <v>321.03442806029386</v>
      </c>
      <c r="AE61" s="29">
        <f t="shared" si="24"/>
        <v>105.30121479455536</v>
      </c>
      <c r="AG61" s="29">
        <f t="shared" si="6"/>
        <v>104.38978204201803</v>
      </c>
    </row>
    <row r="62" spans="2:33" ht="12.75">
      <c r="B62" s="75">
        <f t="shared" si="25"/>
        <v>144.91578628222473</v>
      </c>
      <c r="C62" s="3">
        <f t="shared" si="7"/>
        <v>3.5705402179918213</v>
      </c>
      <c r="D62" s="3">
        <f t="shared" si="8"/>
        <v>1.7596050271582047</v>
      </c>
      <c r="E62" s="3">
        <f t="shared" si="9"/>
        <v>3.9805737400401853</v>
      </c>
      <c r="H62" s="3">
        <f t="shared" si="0"/>
        <v>3.58743664939046</v>
      </c>
      <c r="I62" s="3">
        <f t="shared" si="1"/>
        <v>1.6443404150370244</v>
      </c>
      <c r="J62" s="3">
        <f t="shared" si="10"/>
        <v>3.9463346429204385</v>
      </c>
      <c r="L62" s="28">
        <f t="shared" si="2"/>
        <v>0.032430490034733334</v>
      </c>
      <c r="M62" s="28"/>
      <c r="N62" s="3">
        <f t="shared" si="3"/>
        <v>385.4397508829621</v>
      </c>
      <c r="O62" s="3">
        <f t="shared" si="11"/>
        <v>97.67031581430254</v>
      </c>
      <c r="P62" s="29">
        <f t="shared" si="12"/>
        <v>18823.0110980625</v>
      </c>
      <c r="Q62" s="29">
        <f t="shared" si="13"/>
        <v>38157.96236506239</v>
      </c>
      <c r="R62" s="29">
        <f t="shared" si="14"/>
        <v>9285.237597544992</v>
      </c>
      <c r="S62" s="29">
        <f t="shared" si="15"/>
        <v>124.1505464964039</v>
      </c>
      <c r="T62" s="76">
        <f t="shared" si="16"/>
        <v>144.91578628222473</v>
      </c>
      <c r="U62" s="29">
        <f t="shared" si="17"/>
        <v>84.45152742076571</v>
      </c>
      <c r="V62" s="29">
        <f t="shared" si="4"/>
        <v>87.83611495114235</v>
      </c>
      <c r="W62" s="29">
        <f t="shared" si="18"/>
        <v>3.384587530376635</v>
      </c>
      <c r="X62" s="1">
        <f t="shared" si="5"/>
        <v>88</v>
      </c>
      <c r="Y62" s="29">
        <f t="shared" si="19"/>
        <v>92.40152742076572</v>
      </c>
      <c r="Z62" s="3">
        <f t="shared" si="20"/>
        <v>2.5339969629639967</v>
      </c>
      <c r="AB62" s="3">
        <f t="shared" si="21"/>
        <v>53.50573801004898</v>
      </c>
      <c r="AC62" s="3">
        <f t="shared" si="22"/>
        <v>12</v>
      </c>
      <c r="AD62" s="29">
        <f t="shared" si="23"/>
        <v>321.03442806029386</v>
      </c>
      <c r="AE62" s="29">
        <f t="shared" si="24"/>
        <v>105.93891957734817</v>
      </c>
      <c r="AG62" s="29">
        <f t="shared" si="6"/>
        <v>105.88757252670791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2003-05-02T23:36:38Z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