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95" windowWidth="16125" windowHeight="7950" activeTab="0"/>
  </bookViews>
  <sheets>
    <sheet name="PZ-EQL" sheetId="1" r:id="rId1"/>
  </sheets>
  <definedNames/>
  <calcPr fullCalcOnLoad="1"/>
</workbook>
</file>

<file path=xl/sharedStrings.xml><?xml version="1.0" encoding="utf-8"?>
<sst xmlns="http://schemas.openxmlformats.org/spreadsheetml/2006/main" count="107" uniqueCount="68">
  <si>
    <t>1) Specify:</t>
  </si>
  <si>
    <t>3b) Calculated poles &amp; zeros</t>
  </si>
  <si>
    <t>4b) Calculated poles &amp; zeros</t>
  </si>
  <si>
    <t>f0</t>
  </si>
  <si>
    <t>Q0</t>
  </si>
  <si>
    <t>fp</t>
  </si>
  <si>
    <t>Qp</t>
  </si>
  <si>
    <t>C2</t>
  </si>
  <si>
    <t>fp1</t>
  </si>
  <si>
    <t>fz1</t>
  </si>
  <si>
    <t>Adc [dB]</t>
  </si>
  <si>
    <t>2a) Calculated values</t>
  </si>
  <si>
    <t>3a) Select standard values</t>
  </si>
  <si>
    <t>4a) Select standard values</t>
  </si>
  <si>
    <t>R1</t>
  </si>
  <si>
    <t>R2</t>
  </si>
  <si>
    <t>R3</t>
  </si>
  <si>
    <t>C1</t>
  </si>
  <si>
    <t>C3</t>
  </si>
  <si>
    <t>R2 ----- C2</t>
  </si>
  <si>
    <t>R1 ----- R1</t>
  </si>
  <si>
    <t>R3 ----- R3</t>
  </si>
  <si>
    <t xml:space="preserve">        C1</t>
  </si>
  <si>
    <t xml:space="preserve">        C3</t>
  </si>
  <si>
    <t>f0 =</t>
  </si>
  <si>
    <t>Q0 =</t>
  </si>
  <si>
    <t>fp =</t>
  </si>
  <si>
    <t>Qp =</t>
  </si>
  <si>
    <t>C2 =</t>
  </si>
  <si>
    <t>R1 =</t>
  </si>
  <si>
    <t>R2 =</t>
  </si>
  <si>
    <t>R3 =</t>
  </si>
  <si>
    <t>C1 =</t>
  </si>
  <si>
    <t>C3 =</t>
  </si>
  <si>
    <t>k &gt; 0  ??</t>
  </si>
  <si>
    <t>= fp1 ??</t>
  </si>
  <si>
    <t>Component layout</t>
  </si>
  <si>
    <t>Enter your own values for the numbers in bold typeface</t>
  </si>
  <si>
    <t xml:space="preserve">Find the optimum standard value combination </t>
  </si>
  <si>
    <t>that approximates the specified poles and zeros</t>
  </si>
  <si>
    <t>2b) Multiply calculated</t>
  </si>
  <si>
    <t>impedance level</t>
  </si>
  <si>
    <t>values by M to change</t>
  </si>
  <si>
    <t>Select M =</t>
  </si>
  <si>
    <t>kOhm</t>
  </si>
  <si>
    <t xml:space="preserve"> </t>
  </si>
  <si>
    <t>Values are in Hz, kOhm and nF</t>
  </si>
  <si>
    <t>nF</t>
  </si>
  <si>
    <t>Hz</t>
  </si>
  <si>
    <t>dB</t>
  </si>
  <si>
    <t>f0, Q0</t>
  </si>
  <si>
    <t>Original</t>
  </si>
  <si>
    <t>fp, Qp</t>
  </si>
  <si>
    <t>Target</t>
  </si>
  <si>
    <t>Frequency</t>
  </si>
  <si>
    <t>Equalizer with complex poles and zeros</t>
  </si>
  <si>
    <t>Equalizer</t>
  </si>
  <si>
    <t>The equalizer cancels the original complex poles with zeros</t>
  </si>
  <si>
    <t xml:space="preserve"> (f0, Q0) and adds a new pair of complex poles (fp, Qp) to</t>
  </si>
  <si>
    <t xml:space="preserve"> obtain a targeted 2nd order highpass filter response.</t>
  </si>
  <si>
    <t xml:space="preserve">Formulas used are those from &lt; f0Q0fpQp.gif &gt;. </t>
  </si>
  <si>
    <t>For realizability with the given</t>
  </si>
  <si>
    <t>circuit k must be positive.</t>
  </si>
  <si>
    <t xml:space="preserve">Measure f0, Q0 using &lt; f0Q0.gif &gt; </t>
  </si>
  <si>
    <t>Choose target for  fp, Qp</t>
  </si>
  <si>
    <t>Measured</t>
  </si>
  <si>
    <t>response</t>
  </si>
  <si>
    <t>© LINKWITZ LAB - 27 July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</si>
</sst>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E+00"/>
    <numFmt numFmtId="166" formatCode="0.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5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5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1" fontId="0" fillId="0" borderId="5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2" fontId="0" fillId="0" borderId="7" xfId="0" applyNumberFormat="1" applyBorder="1" applyAlignment="1">
      <alignment/>
    </xf>
    <xf numFmtId="0" fontId="0" fillId="0" borderId="6" xfId="0" applyBorder="1" applyAlignment="1">
      <alignment horizontal="right"/>
    </xf>
    <xf numFmtId="2" fontId="0" fillId="0" borderId="8" xfId="0" applyNumberFormat="1" applyBorder="1" applyAlignment="1">
      <alignment/>
    </xf>
    <xf numFmtId="1" fontId="0" fillId="0" borderId="8" xfId="0" applyNumberFormat="1" applyBorder="1" applyAlignment="1">
      <alignment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 quotePrefix="1">
      <alignment/>
    </xf>
    <xf numFmtId="0" fontId="0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4" fontId="0" fillId="0" borderId="5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1" fillId="0" borderId="12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164" fontId="1" fillId="0" borderId="10" xfId="0" applyNumberFormat="1" applyFont="1" applyBorder="1" applyAlignment="1">
      <alignment horizontal="center"/>
    </xf>
    <xf numFmtId="164" fontId="0" fillId="0" borderId="8" xfId="0" applyNumberFormat="1" applyBorder="1" applyAlignment="1">
      <alignment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Frequency response
Equalization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0825"/>
          <c:w val="0.96275"/>
          <c:h val="0.82825"/>
        </c:manualLayout>
      </c:layout>
      <c:lineChart>
        <c:grouping val="standard"/>
        <c:varyColors val="0"/>
        <c:ser>
          <c:idx val="0"/>
          <c:order val="0"/>
          <c:tx>
            <c:v>Original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'PZ-EQL'!$B$37:$B$57</c:f>
              <c:numCache/>
            </c:numRef>
          </c:cat>
          <c:val>
            <c:numRef>
              <c:f>'PZ-EQL'!$D$37:$D$57</c:f>
              <c:numCache/>
            </c:numRef>
          </c:val>
          <c:smooth val="0"/>
        </c:ser>
        <c:ser>
          <c:idx val="2"/>
          <c:order val="1"/>
          <c:tx>
            <c:v>Target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'PZ-EQL'!$B$37:$B$57</c:f>
              <c:numCache/>
            </c:numRef>
          </c:cat>
          <c:val>
            <c:numRef>
              <c:f>'PZ-EQL'!$F$37:$F$57</c:f>
              <c:numCache/>
            </c:numRef>
          </c:val>
          <c:smooth val="0"/>
        </c:ser>
        <c:ser>
          <c:idx val="3"/>
          <c:order val="2"/>
          <c:tx>
            <c:v>Equalizer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'PZ-EQL'!$B$37:$B$57</c:f>
              <c:numCache/>
            </c:numRef>
          </c:cat>
          <c:val>
            <c:numRef>
              <c:f>'PZ-EQL'!$G$37:$G$57</c:f>
              <c:numCache/>
            </c:numRef>
          </c:val>
          <c:smooth val="0"/>
        </c:ser>
        <c:ser>
          <c:idx val="1"/>
          <c:order val="3"/>
          <c:tx>
            <c:v>Measured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'PZ-EQL'!$I$37:$I$57</c:f>
              <c:numCache/>
            </c:numRef>
          </c:val>
          <c:smooth val="0"/>
        </c:ser>
        <c:marker val="1"/>
        <c:axId val="35173230"/>
        <c:axId val="48123615"/>
      </c:lineChart>
      <c:catAx>
        <c:axId val="35173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/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0" b="0" i="0" u="none" baseline="0"/>
            </a:pPr>
          </a:p>
        </c:txPr>
        <c:crossAx val="48123615"/>
        <c:crosses val="autoZero"/>
        <c:auto val="1"/>
        <c:lblOffset val="100"/>
        <c:noMultiLvlLbl val="0"/>
      </c:catAx>
      <c:valAx>
        <c:axId val="48123615"/>
        <c:scaling>
          <c:orientation val="minMax"/>
          <c:max val="24"/>
          <c:min val="-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/>
                  <a:t>Magnitude - dB</a:t>
                </a:r>
              </a:p>
            </c:rich>
          </c:tx>
          <c:layout>
            <c:manualLayout>
              <c:xMode val="factor"/>
              <c:yMode val="factor"/>
              <c:x val="-0.033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173230"/>
        <c:crossesAt val="1"/>
        <c:crossBetween val="midCat"/>
        <c:dispUnits/>
        <c:majorUnit val="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"/>
          <c:y val="0.18625"/>
          <c:w val="0.15325"/>
          <c:h val="0.151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561975</xdr:colOff>
      <xdr:row>28</xdr:row>
      <xdr:rowOff>142875</xdr:rowOff>
    </xdr:from>
    <xdr:to>
      <xdr:col>22</xdr:col>
      <xdr:colOff>152400</xdr:colOff>
      <xdr:row>62</xdr:row>
      <xdr:rowOff>133350</xdr:rowOff>
    </xdr:to>
    <xdr:graphicFrame>
      <xdr:nvGraphicFramePr>
        <xdr:cNvPr id="1" name="Chart 1"/>
        <xdr:cNvGraphicFramePr/>
      </xdr:nvGraphicFramePr>
      <xdr:xfrm>
        <a:off x="4619625" y="4676775"/>
        <a:ext cx="69342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3"/>
  <sheetViews>
    <sheetView showGridLines="0" tabSelected="1" zoomScale="75" zoomScaleNormal="75" workbookViewId="0" topLeftCell="A1">
      <selection activeCell="K3" sqref="K3"/>
    </sheetView>
  </sheetViews>
  <sheetFormatPr defaultColWidth="9.140625" defaultRowHeight="12.75"/>
  <cols>
    <col min="1" max="1" width="2.57421875" style="0" customWidth="1"/>
    <col min="2" max="2" width="8.7109375" style="0" customWidth="1"/>
    <col min="3" max="3" width="4.7109375" style="0" customWidth="1"/>
    <col min="4" max="4" width="10.00390625" style="0" customWidth="1"/>
    <col min="5" max="5" width="3.7109375" style="0" customWidth="1"/>
    <col min="6" max="6" width="8.7109375" style="0" customWidth="1"/>
    <col min="7" max="7" width="10.00390625" style="0" customWidth="1"/>
    <col min="8" max="8" width="3.7109375" style="0" customWidth="1"/>
    <col min="9" max="9" width="8.7109375" style="0" customWidth="1"/>
    <col min="10" max="10" width="9.7109375" style="0" customWidth="1"/>
    <col min="11" max="11" width="8.7109375" style="0" customWidth="1"/>
    <col min="12" max="12" width="3.7109375" style="0" customWidth="1"/>
    <col min="13" max="13" width="8.7109375" style="0" customWidth="1"/>
    <col min="14" max="14" width="9.57421875" style="0" customWidth="1"/>
    <col min="15" max="16384" width="8.7109375" style="0" customWidth="1"/>
  </cols>
  <sheetData>
    <row r="2" spans="2:11" ht="12.75">
      <c r="B2" s="13" t="s">
        <v>55</v>
      </c>
      <c r="K2" s="29" t="s">
        <v>67</v>
      </c>
    </row>
    <row r="3" ht="12.75">
      <c r="B3" s="24" t="s">
        <v>37</v>
      </c>
    </row>
    <row r="4" ht="12.75">
      <c r="B4" s="24" t="s">
        <v>46</v>
      </c>
    </row>
    <row r="5" ht="12.75">
      <c r="B5" s="13"/>
    </row>
    <row r="6" spans="2:13" ht="12.75">
      <c r="B6" t="s">
        <v>63</v>
      </c>
      <c r="F6" s="21" t="s">
        <v>0</v>
      </c>
      <c r="G6" s="7"/>
      <c r="I6" t="s">
        <v>1</v>
      </c>
      <c r="M6" t="s">
        <v>2</v>
      </c>
    </row>
    <row r="7" spans="2:15" ht="12.75">
      <c r="B7" t="s">
        <v>64</v>
      </c>
      <c r="F7" s="39" t="s">
        <v>24</v>
      </c>
      <c r="G7" s="25">
        <v>60</v>
      </c>
      <c r="H7" t="s">
        <v>45</v>
      </c>
      <c r="I7" s="6" t="s">
        <v>3</v>
      </c>
      <c r="J7" s="9">
        <f>1000000/(2*PI()*J19*SQRT(J22*J24))</f>
        <v>59.60399460264797</v>
      </c>
      <c r="K7" s="4"/>
      <c r="M7" s="6" t="s">
        <v>3</v>
      </c>
      <c r="N7" s="9">
        <f>1000000/(2*PI()*N19*SQRT(N22*N24))</f>
        <v>59.313545284764764</v>
      </c>
      <c r="O7" s="4"/>
    </row>
    <row r="8" spans="6:14" ht="12.75">
      <c r="F8" s="39" t="s">
        <v>25</v>
      </c>
      <c r="G8" s="25">
        <v>0.75</v>
      </c>
      <c r="I8" s="1" t="s">
        <v>4</v>
      </c>
      <c r="J8" s="10">
        <f>J19*(SQRT(J22/J24))/(2*J19+J20)</f>
        <v>0.7376259625866679</v>
      </c>
      <c r="M8" s="1" t="s">
        <v>4</v>
      </c>
      <c r="N8" s="10">
        <f>N19*(SQRT(N22/N24))/(2*N19+N20)</f>
        <v>0.7412380035910905</v>
      </c>
    </row>
    <row r="9" spans="2:14" ht="12.75">
      <c r="B9" s="15" t="s">
        <v>36</v>
      </c>
      <c r="C9" s="15"/>
      <c r="D9" s="15"/>
      <c r="F9" s="39" t="s">
        <v>26</v>
      </c>
      <c r="G9" s="25">
        <v>100</v>
      </c>
      <c r="H9" t="s">
        <v>45</v>
      </c>
      <c r="I9" s="1" t="s">
        <v>5</v>
      </c>
      <c r="J9" s="11">
        <f>1000000/(2*PI()*J21*SQRT(J24*J23))</f>
        <v>102.26473324959441</v>
      </c>
      <c r="M9" s="1" t="s">
        <v>5</v>
      </c>
      <c r="N9" s="11">
        <f>1000000/(2*PI()*N21*SQRT(N24*N23))</f>
        <v>102.26473324959441</v>
      </c>
    </row>
    <row r="10" spans="2:15" ht="12.75">
      <c r="B10" s="5" t="s">
        <v>19</v>
      </c>
      <c r="D10" t="s">
        <v>19</v>
      </c>
      <c r="F10" s="40" t="s">
        <v>27</v>
      </c>
      <c r="G10" s="26">
        <v>0.7</v>
      </c>
      <c r="I10" s="18" t="s">
        <v>6</v>
      </c>
      <c r="J10" s="19">
        <f>(J21*SQRT(J23/J24))/(2*J21+J20)</f>
        <v>0.6719789776942373</v>
      </c>
      <c r="K10" s="15"/>
      <c r="M10" s="18" t="s">
        <v>6</v>
      </c>
      <c r="N10" s="19">
        <f>(N21*SQRT(N23/N24))/(2*N21+N20)</f>
        <v>0.6719789776942373</v>
      </c>
      <c r="O10" s="15"/>
    </row>
    <row r="11" spans="2:14" ht="12.75">
      <c r="B11" s="5" t="s">
        <v>20</v>
      </c>
      <c r="C11" s="4"/>
      <c r="D11" t="s">
        <v>21</v>
      </c>
      <c r="F11" s="40" t="s">
        <v>28</v>
      </c>
      <c r="G11" s="42">
        <v>100</v>
      </c>
      <c r="H11" t="s">
        <v>45</v>
      </c>
      <c r="I11" s="1" t="s">
        <v>8</v>
      </c>
      <c r="J11" s="11">
        <f>1000000/(PI()*J22*J19)</f>
        <v>44.64374280277569</v>
      </c>
      <c r="M11" s="1" t="s">
        <v>8</v>
      </c>
      <c r="N11" s="11">
        <f>1000000/(PI()*N22*N19)</f>
        <v>44.20970641441537</v>
      </c>
    </row>
    <row r="12" spans="2:15" ht="12.75">
      <c r="B12" s="38" t="s">
        <v>22</v>
      </c>
      <c r="D12" s="38" t="s">
        <v>23</v>
      </c>
      <c r="I12" s="18" t="s">
        <v>9</v>
      </c>
      <c r="J12" s="20">
        <f>1000000/(PI()*J23*J21)</f>
        <v>45.73417904939522</v>
      </c>
      <c r="K12" s="23" t="s">
        <v>35</v>
      </c>
      <c r="M12" s="18" t="s">
        <v>9</v>
      </c>
      <c r="N12" s="20">
        <f>1000000/(PI()*N23*N21)</f>
        <v>45.73417904939522</v>
      </c>
      <c r="O12" s="23" t="s">
        <v>35</v>
      </c>
    </row>
    <row r="13" spans="9:15" ht="12.75">
      <c r="I13" s="1" t="s">
        <v>10</v>
      </c>
      <c r="J13" s="12">
        <f>40*LOG(J7/J9)</f>
        <v>-9.378020925894454</v>
      </c>
      <c r="K13" s="2"/>
      <c r="M13" s="1" t="s">
        <v>10</v>
      </c>
      <c r="N13" s="12">
        <f>40*LOG(N7/N9)</f>
        <v>-9.462880257482507</v>
      </c>
      <c r="O13" s="2"/>
    </row>
    <row r="14" spans="2:15" ht="12.75">
      <c r="B14" s="24" t="s">
        <v>61</v>
      </c>
      <c r="I14" s="1"/>
      <c r="J14" s="28"/>
      <c r="K14" s="2"/>
      <c r="M14" s="1"/>
      <c r="N14" s="28"/>
      <c r="O14" s="2"/>
    </row>
    <row r="15" spans="2:10" ht="12.75">
      <c r="B15" s="24" t="s">
        <v>62</v>
      </c>
      <c r="F15" s="5" t="s">
        <v>40</v>
      </c>
      <c r="J15" t="s">
        <v>38</v>
      </c>
    </row>
    <row r="16" spans="5:12" ht="12.75">
      <c r="E16" s="1"/>
      <c r="F16" s="5" t="s">
        <v>42</v>
      </c>
      <c r="G16" s="1"/>
      <c r="H16" s="1"/>
      <c r="J16" t="s">
        <v>39</v>
      </c>
      <c r="L16" s="3"/>
    </row>
    <row r="17" spans="2:7" ht="12.75">
      <c r="B17" s="15" t="s">
        <v>11</v>
      </c>
      <c r="F17" s="15" t="s">
        <v>41</v>
      </c>
      <c r="G17" s="15"/>
    </row>
    <row r="18" spans="2:15" ht="12.75">
      <c r="B18" s="8"/>
      <c r="C18" s="22" t="s">
        <v>34</v>
      </c>
      <c r="D18" s="17">
        <f>((G7/G9)-(G8/G10))/((G8/G10)-(G9/G7))</f>
        <v>0.7919999999999998</v>
      </c>
      <c r="F18" s="16" t="s">
        <v>43</v>
      </c>
      <c r="G18" s="27">
        <v>1.01</v>
      </c>
      <c r="I18" s="21" t="s">
        <v>12</v>
      </c>
      <c r="J18" s="8"/>
      <c r="K18" s="7"/>
      <c r="M18" s="21" t="s">
        <v>13</v>
      </c>
      <c r="N18" s="8"/>
      <c r="O18" s="7"/>
    </row>
    <row r="19" spans="3:15" ht="12.75">
      <c r="C19" s="1" t="s">
        <v>14</v>
      </c>
      <c r="D19" s="30">
        <f>1000000/(2*PI()*G7*G11*(2*G8*(1+D18)))</f>
        <v>9.868238038932004</v>
      </c>
      <c r="F19" s="14" t="s">
        <v>14</v>
      </c>
      <c r="G19" s="30">
        <f>D19*G$18</f>
        <v>9.966920419321324</v>
      </c>
      <c r="I19" s="41" t="s">
        <v>29</v>
      </c>
      <c r="J19" s="34">
        <v>10</v>
      </c>
      <c r="K19" s="31" t="s">
        <v>44</v>
      </c>
      <c r="M19" s="39" t="s">
        <v>29</v>
      </c>
      <c r="N19" s="36">
        <v>10</v>
      </c>
      <c r="O19" s="31" t="s">
        <v>44</v>
      </c>
    </row>
    <row r="20" spans="3:15" ht="12.75">
      <c r="C20" s="1" t="s">
        <v>15</v>
      </c>
      <c r="D20" s="30">
        <f>2*D18*D19</f>
        <v>15.63128905366829</v>
      </c>
      <c r="F20" s="14" t="s">
        <v>15</v>
      </c>
      <c r="G20" s="30">
        <f>D20*G$18</f>
        <v>15.787601944204972</v>
      </c>
      <c r="I20" s="39" t="s">
        <v>30</v>
      </c>
      <c r="J20" s="35">
        <v>16.2</v>
      </c>
      <c r="K20" s="32" t="s">
        <v>44</v>
      </c>
      <c r="M20" s="39" t="s">
        <v>30</v>
      </c>
      <c r="N20" s="37">
        <v>16.2</v>
      </c>
      <c r="O20" s="32" t="s">
        <v>44</v>
      </c>
    </row>
    <row r="21" spans="3:15" ht="12.75">
      <c r="C21" s="1" t="s">
        <v>16</v>
      </c>
      <c r="D21" s="30">
        <f>D19*(G7/G9)^2</f>
        <v>3.5525656940155215</v>
      </c>
      <c r="F21" s="14" t="s">
        <v>16</v>
      </c>
      <c r="G21" s="30">
        <f>D21*G$18</f>
        <v>3.588091350955677</v>
      </c>
      <c r="I21" s="39" t="s">
        <v>31</v>
      </c>
      <c r="J21" s="35">
        <v>3.48</v>
      </c>
      <c r="K21" s="32" t="s">
        <v>44</v>
      </c>
      <c r="M21" s="39" t="s">
        <v>31</v>
      </c>
      <c r="N21" s="37">
        <v>3.48</v>
      </c>
      <c r="O21" s="32" t="s">
        <v>44</v>
      </c>
    </row>
    <row r="22" spans="3:15" ht="12.75">
      <c r="C22" s="1" t="s">
        <v>17</v>
      </c>
      <c r="D22" s="12">
        <f>G11*(2*G8*(1+D18))^2</f>
        <v>722.5343999999999</v>
      </c>
      <c r="F22" s="14" t="s">
        <v>17</v>
      </c>
      <c r="G22" s="12">
        <f>D22/G$18</f>
        <v>715.3805940594058</v>
      </c>
      <c r="I22" s="39" t="s">
        <v>32</v>
      </c>
      <c r="J22" s="44">
        <v>713</v>
      </c>
      <c r="K22" s="32" t="s">
        <v>47</v>
      </c>
      <c r="M22" s="39" t="s">
        <v>32</v>
      </c>
      <c r="N22" s="46">
        <v>720</v>
      </c>
      <c r="O22" s="32" t="s">
        <v>47</v>
      </c>
    </row>
    <row r="23" spans="3:15" ht="12.75">
      <c r="C23" s="1" t="s">
        <v>18</v>
      </c>
      <c r="D23" s="12">
        <f>D22*(G9/G7)^2</f>
        <v>2007.04</v>
      </c>
      <c r="F23" s="14" t="s">
        <v>18</v>
      </c>
      <c r="G23" s="12">
        <f>D23/G$18</f>
        <v>1987.1683168316831</v>
      </c>
      <c r="I23" s="39" t="s">
        <v>33</v>
      </c>
      <c r="J23" s="44">
        <v>2000</v>
      </c>
      <c r="K23" s="32" t="s">
        <v>47</v>
      </c>
      <c r="M23" s="39" t="s">
        <v>33</v>
      </c>
      <c r="N23" s="46">
        <v>2000</v>
      </c>
      <c r="O23" s="32" t="s">
        <v>47</v>
      </c>
    </row>
    <row r="24" spans="2:15" ht="12.75">
      <c r="B24" s="15"/>
      <c r="C24" s="18" t="s">
        <v>7</v>
      </c>
      <c r="D24" s="43">
        <f>G11</f>
        <v>100</v>
      </c>
      <c r="F24" s="18" t="s">
        <v>7</v>
      </c>
      <c r="G24" s="43">
        <f>G11/G$18</f>
        <v>99.00990099009901</v>
      </c>
      <c r="I24" s="40" t="s">
        <v>28</v>
      </c>
      <c r="J24" s="45">
        <v>100</v>
      </c>
      <c r="K24" s="33" t="s">
        <v>47</v>
      </c>
      <c r="M24" s="40" t="s">
        <v>28</v>
      </c>
      <c r="N24" s="47">
        <v>100</v>
      </c>
      <c r="O24" s="33" t="s">
        <v>47</v>
      </c>
    </row>
    <row r="25" spans="3:15" ht="12.75">
      <c r="C25" s="1" t="s">
        <v>10</v>
      </c>
      <c r="D25" s="12">
        <f>40*LOG(G7/G9)</f>
        <v>-8.873949984654256</v>
      </c>
      <c r="F25" s="5"/>
      <c r="G25" s="5"/>
      <c r="I25" s="5"/>
      <c r="J25" s="5"/>
      <c r="K25" s="5"/>
      <c r="L25" s="5"/>
      <c r="M25" s="5"/>
      <c r="N25" s="5" t="s">
        <v>45</v>
      </c>
      <c r="O25" s="5"/>
    </row>
    <row r="27" ht="12.75">
      <c r="B27" t="s">
        <v>60</v>
      </c>
    </row>
    <row r="30" ht="12.75">
      <c r="B30" t="s">
        <v>57</v>
      </c>
    </row>
    <row r="31" ht="12.75">
      <c r="B31" t="s">
        <v>58</v>
      </c>
    </row>
    <row r="32" ht="12.75">
      <c r="B32" t="s">
        <v>59</v>
      </c>
    </row>
    <row r="34" spans="4:9" ht="12.75">
      <c r="D34" s="51" t="s">
        <v>50</v>
      </c>
      <c r="E34" s="1"/>
      <c r="F34" s="1" t="s">
        <v>52</v>
      </c>
      <c r="I34" s="55" t="s">
        <v>65</v>
      </c>
    </row>
    <row r="35" spans="2:9" ht="12.75">
      <c r="B35" s="50" t="s">
        <v>54</v>
      </c>
      <c r="C35" s="50"/>
      <c r="D35" s="51" t="s">
        <v>51</v>
      </c>
      <c r="E35" s="1"/>
      <c r="F35" s="1" t="s">
        <v>53</v>
      </c>
      <c r="H35" s="1" t="s">
        <v>56</v>
      </c>
      <c r="I35" s="55" t="s">
        <v>66</v>
      </c>
    </row>
    <row r="36" spans="2:9" ht="12.75">
      <c r="B36" s="18" t="s">
        <v>48</v>
      </c>
      <c r="C36" s="15"/>
      <c r="D36" s="52" t="s">
        <v>49</v>
      </c>
      <c r="E36" s="18"/>
      <c r="F36" s="18" t="s">
        <v>49</v>
      </c>
      <c r="G36" s="18" t="s">
        <v>49</v>
      </c>
      <c r="H36" s="15"/>
      <c r="I36" s="53" t="s">
        <v>49</v>
      </c>
    </row>
    <row r="37" spans="2:9" ht="12.75">
      <c r="B37" s="21">
        <v>10</v>
      </c>
      <c r="C37" s="7"/>
      <c r="D37" s="12">
        <f aca="true" t="shared" si="0" ref="D37:D57">(40*LOG(B37/$G$7))-10*LOG(((((B37/$G$7)^2)-1)^2)+((B37/($G$7*$G$8))^2))</f>
        <v>-31.10252917353403</v>
      </c>
      <c r="F37" s="49">
        <f aca="true" t="shared" si="1" ref="F37:F57">40*LOG(B37/$G$9)-10*LOG(((((B37/$G$9)^2)-1)^2)+((B37/($G$9*$G$10))^2))</f>
        <v>-40.002206364471064</v>
      </c>
      <c r="G37" s="49">
        <f aca="true" t="shared" si="2" ref="G37:G57">F37-D37</f>
        <v>-8.899677190937034</v>
      </c>
      <c r="I37" s="54"/>
    </row>
    <row r="38" spans="2:9" ht="12.75">
      <c r="B38" s="48">
        <f aca="true" t="shared" si="3" ref="B38:B57">B37*2^(1/3)</f>
        <v>12.599210498948732</v>
      </c>
      <c r="D38" s="12">
        <f t="shared" si="0"/>
        <v>-27.078070630936104</v>
      </c>
      <c r="F38" s="49">
        <f t="shared" si="1"/>
        <v>-35.99017319612156</v>
      </c>
      <c r="G38" s="49">
        <f t="shared" si="2"/>
        <v>-8.912102565185457</v>
      </c>
      <c r="H38" s="1"/>
      <c r="I38" s="54"/>
    </row>
    <row r="39" spans="2:9" ht="12.75">
      <c r="B39" s="48">
        <f t="shared" si="3"/>
        <v>15.874010519681995</v>
      </c>
      <c r="D39" s="12">
        <f t="shared" si="0"/>
        <v>-23.05206024129334</v>
      </c>
      <c r="F39" s="49">
        <f t="shared" si="1"/>
        <v>-31.97975179401052</v>
      </c>
      <c r="G39" s="49">
        <f t="shared" si="2"/>
        <v>-8.927691552717182</v>
      </c>
      <c r="I39" s="54">
        <v>-27</v>
      </c>
    </row>
    <row r="40" spans="2:9" ht="12.75">
      <c r="B40" s="48">
        <f t="shared" si="3"/>
        <v>20</v>
      </c>
      <c r="D40" s="12">
        <f t="shared" si="0"/>
        <v>-19.030899869919434</v>
      </c>
      <c r="F40" s="49">
        <f t="shared" si="1"/>
        <v>-27.972816764103847</v>
      </c>
      <c r="G40" s="49">
        <f t="shared" si="2"/>
        <v>-8.941916894184413</v>
      </c>
      <c r="I40" s="54">
        <v>-19</v>
      </c>
    </row>
    <row r="41" spans="2:9" ht="12.75">
      <c r="B41" s="48">
        <f t="shared" si="3"/>
        <v>25.198420997897465</v>
      </c>
      <c r="D41" s="12">
        <f t="shared" si="0"/>
        <v>-15.035857437288417</v>
      </c>
      <c r="F41" s="49">
        <f t="shared" si="1"/>
        <v>-23.973737213215017</v>
      </c>
      <c r="G41" s="49">
        <f t="shared" si="2"/>
        <v>-8.9378797759266</v>
      </c>
      <c r="I41" s="54">
        <v>-15</v>
      </c>
    </row>
    <row r="42" spans="2:9" ht="12.75">
      <c r="B42" s="48">
        <f t="shared" si="3"/>
        <v>31.74802103936399</v>
      </c>
      <c r="D42" s="12">
        <f t="shared" si="0"/>
        <v>-11.127055245219156</v>
      </c>
      <c r="F42" s="49">
        <f t="shared" si="1"/>
        <v>-19.99288395920404</v>
      </c>
      <c r="G42" s="49">
        <f t="shared" si="2"/>
        <v>-8.865828713984884</v>
      </c>
      <c r="I42" s="54">
        <v>-11</v>
      </c>
    </row>
    <row r="43" spans="2:9" ht="12.75">
      <c r="B43" s="48">
        <f t="shared" si="3"/>
        <v>40</v>
      </c>
      <c r="D43" s="12">
        <f t="shared" si="0"/>
        <v>-7.4527002398898805</v>
      </c>
      <c r="F43" s="49">
        <f t="shared" si="1"/>
        <v>-16.054946937893828</v>
      </c>
      <c r="G43" s="49">
        <f t="shared" si="2"/>
        <v>-8.602246698003947</v>
      </c>
      <c r="I43" s="54">
        <v>-7</v>
      </c>
    </row>
    <row r="44" spans="2:9" ht="12.75">
      <c r="B44" s="48">
        <f t="shared" si="3"/>
        <v>50.39684199579493</v>
      </c>
      <c r="D44" s="12">
        <f t="shared" si="0"/>
        <v>-4.304095518798714</v>
      </c>
      <c r="F44" s="49">
        <f t="shared" si="1"/>
        <v>-12.217445311137636</v>
      </c>
      <c r="G44" s="49">
        <f t="shared" si="2"/>
        <v>-7.913349792338922</v>
      </c>
      <c r="I44" s="54">
        <v>-4.5</v>
      </c>
    </row>
    <row r="45" spans="2:9" ht="12.75">
      <c r="B45" s="48">
        <f t="shared" si="3"/>
        <v>63.49604207872798</v>
      </c>
      <c r="D45" s="12">
        <f t="shared" si="0"/>
        <v>-2.0381278926457242</v>
      </c>
      <c r="F45" s="49">
        <f t="shared" si="1"/>
        <v>-8.605293872332153</v>
      </c>
      <c r="G45" s="49">
        <f t="shared" si="2"/>
        <v>-6.567165979686429</v>
      </c>
      <c r="I45" s="54">
        <v>-2</v>
      </c>
    </row>
    <row r="46" spans="2:9" ht="12.75">
      <c r="B46" s="48">
        <f t="shared" si="3"/>
        <v>80</v>
      </c>
      <c r="D46" s="12">
        <f t="shared" si="0"/>
        <v>-0.760598740349363</v>
      </c>
      <c r="F46" s="49">
        <f t="shared" si="1"/>
        <v>-5.447105431035297</v>
      </c>
      <c r="G46" s="49">
        <f t="shared" si="2"/>
        <v>-4.686506690685934</v>
      </c>
      <c r="I46" s="54">
        <v>-1</v>
      </c>
    </row>
    <row r="47" spans="2:9" ht="12.75">
      <c r="B47" s="48">
        <f t="shared" si="3"/>
        <v>100.79368399158986</v>
      </c>
      <c r="D47" s="12">
        <f t="shared" si="0"/>
        <v>-0.1987235907454057</v>
      </c>
      <c r="F47" s="49">
        <f t="shared" si="1"/>
        <v>-3.0299047864216253</v>
      </c>
      <c r="G47" s="49">
        <f t="shared" si="2"/>
        <v>-2.8311811956762196</v>
      </c>
      <c r="I47" s="54">
        <v>0</v>
      </c>
    </row>
    <row r="48" spans="2:9" ht="12.75">
      <c r="B48" s="48">
        <f t="shared" si="3"/>
        <v>126.99208415745596</v>
      </c>
      <c r="D48" s="12">
        <f t="shared" si="0"/>
        <v>-0.0009752245389726966</v>
      </c>
      <c r="F48" s="49">
        <f t="shared" si="1"/>
        <v>-1.4915957595278382</v>
      </c>
      <c r="G48" s="49">
        <f t="shared" si="2"/>
        <v>-1.4906205349888655</v>
      </c>
      <c r="I48" s="54">
        <v>0</v>
      </c>
    </row>
    <row r="49" spans="2:9" ht="12.75">
      <c r="B49" s="48">
        <f t="shared" si="3"/>
        <v>160</v>
      </c>
      <c r="D49" s="12">
        <f t="shared" si="0"/>
        <v>0.05012171199360438</v>
      </c>
      <c r="F49" s="49">
        <f t="shared" si="1"/>
        <v>-0.6764052379371606</v>
      </c>
      <c r="G49" s="49">
        <f t="shared" si="2"/>
        <v>-0.7265269499307649</v>
      </c>
      <c r="I49" s="54">
        <v>0</v>
      </c>
    </row>
    <row r="50" spans="2:9" ht="12.75">
      <c r="B50" s="48">
        <f t="shared" si="3"/>
        <v>201.58736798317972</v>
      </c>
      <c r="D50" s="12">
        <f t="shared" si="0"/>
        <v>0.051720256923246666</v>
      </c>
      <c r="F50" s="49">
        <f t="shared" si="1"/>
        <v>-0.29626654090431437</v>
      </c>
      <c r="G50" s="49">
        <f t="shared" si="2"/>
        <v>-0.34798679782756103</v>
      </c>
      <c r="I50" s="54">
        <v>0</v>
      </c>
    </row>
    <row r="51" spans="2:9" ht="12.75">
      <c r="B51" s="48">
        <f t="shared" si="3"/>
        <v>253.98416831491193</v>
      </c>
      <c r="D51" s="12">
        <f t="shared" si="0"/>
        <v>0.04052200401268635</v>
      </c>
      <c r="F51" s="49">
        <f t="shared" si="1"/>
        <v>-0.12988324007933016</v>
      </c>
      <c r="G51" s="49">
        <f t="shared" si="2"/>
        <v>-0.17040524409201652</v>
      </c>
      <c r="I51" s="54">
        <v>0</v>
      </c>
    </row>
    <row r="52" spans="2:9" ht="12.75">
      <c r="B52" s="48">
        <f t="shared" si="3"/>
        <v>320</v>
      </c>
      <c r="D52" s="12">
        <f t="shared" si="0"/>
        <v>0.02865587385401014</v>
      </c>
      <c r="F52" s="49">
        <f t="shared" si="1"/>
        <v>-0.058334854665215374</v>
      </c>
      <c r="G52" s="49">
        <f t="shared" si="2"/>
        <v>-0.08699072851922551</v>
      </c>
      <c r="I52" s="54">
        <v>0</v>
      </c>
    </row>
    <row r="53" spans="2:9" ht="12.75">
      <c r="B53" s="48">
        <f t="shared" si="3"/>
        <v>403.17473596635944</v>
      </c>
      <c r="D53" s="12">
        <f t="shared" si="0"/>
        <v>0.019286675281506405</v>
      </c>
      <c r="F53" s="49">
        <f t="shared" si="1"/>
        <v>-0.02725600683957552</v>
      </c>
      <c r="G53" s="49">
        <f t="shared" si="2"/>
        <v>-0.046542682121081924</v>
      </c>
      <c r="I53" s="54">
        <v>0</v>
      </c>
    </row>
    <row r="54" spans="2:9" ht="12.75">
      <c r="B54" s="48">
        <f t="shared" si="3"/>
        <v>507.96833662982385</v>
      </c>
      <c r="D54" s="12">
        <f t="shared" si="0"/>
        <v>0.01263784233362486</v>
      </c>
      <c r="F54" s="49">
        <f t="shared" si="1"/>
        <v>-0.013372061068835706</v>
      </c>
      <c r="G54" s="49">
        <f t="shared" si="2"/>
        <v>-0.026009903402460566</v>
      </c>
      <c r="I54" s="54">
        <v>0</v>
      </c>
    </row>
    <row r="55" spans="2:9" ht="12.75">
      <c r="B55" s="48">
        <f t="shared" si="3"/>
        <v>640</v>
      </c>
      <c r="D55" s="12">
        <f t="shared" si="0"/>
        <v>0.008154482748572889</v>
      </c>
      <c r="F55" s="49">
        <f t="shared" si="1"/>
        <v>-0.006910806703061212</v>
      </c>
      <c r="G55" s="49">
        <f t="shared" si="2"/>
        <v>-0.0150652894516341</v>
      </c>
      <c r="I55" s="54">
        <v>0</v>
      </c>
    </row>
    <row r="56" spans="2:9" ht="12.75">
      <c r="B56" s="48">
        <f t="shared" si="3"/>
        <v>806.3494719327189</v>
      </c>
      <c r="D56" s="12">
        <f t="shared" si="0"/>
        <v>0.005213514910010986</v>
      </c>
      <c r="F56" s="49">
        <f t="shared" si="1"/>
        <v>-0.0037519514430570666</v>
      </c>
      <c r="G56" s="49">
        <f t="shared" si="2"/>
        <v>-0.008965466353068052</v>
      </c>
      <c r="I56" s="54">
        <v>0</v>
      </c>
    </row>
    <row r="57" spans="2:9" ht="12.75">
      <c r="B57" s="48">
        <f t="shared" si="3"/>
        <v>1015.9366732596477</v>
      </c>
      <c r="D57" s="12">
        <f t="shared" si="0"/>
        <v>0.003314638036762574</v>
      </c>
      <c r="F57" s="49">
        <f t="shared" si="1"/>
        <v>-0.0021246120371003485</v>
      </c>
      <c r="G57" s="49">
        <f t="shared" si="2"/>
        <v>-0.005439250073862922</v>
      </c>
      <c r="I57" s="54">
        <v>0</v>
      </c>
    </row>
    <row r="58" spans="2:7" ht="12.75">
      <c r="B58" s="48"/>
      <c r="D58" s="28"/>
      <c r="F58" s="49"/>
      <c r="G58" s="49"/>
    </row>
    <row r="59" spans="2:7" ht="12.75">
      <c r="B59" s="48"/>
      <c r="D59" s="28"/>
      <c r="F59" s="49"/>
      <c r="G59" s="49"/>
    </row>
    <row r="60" spans="2:7" ht="12.75">
      <c r="B60" s="48"/>
      <c r="D60" s="28"/>
      <c r="F60" s="49"/>
      <c r="G60" s="49"/>
    </row>
    <row r="61" spans="2:7" ht="12.75">
      <c r="B61" s="48"/>
      <c r="D61" s="28"/>
      <c r="F61" s="49"/>
      <c r="G61" s="49"/>
    </row>
    <row r="62" spans="2:7" ht="12.75">
      <c r="B62" s="48"/>
      <c r="D62" s="28"/>
      <c r="F62" s="49"/>
      <c r="G62" s="49"/>
    </row>
    <row r="63" spans="2:7" ht="12.75">
      <c r="B63" s="48"/>
      <c r="D63" s="28"/>
      <c r="F63" s="49"/>
      <c r="G63" s="49"/>
    </row>
  </sheetData>
  <printOptions/>
  <pageMargins left="0.5" right="0" top="1" bottom="1" header="0.5" footer="0.5"/>
  <pageSetup horizontalDpi="300" verticalDpi="300" orientation="landscape" r:id="rId2"/>
  <headerFooter alignWithMargins="0">
    <oddHeader>&amp;CLNKWITZ LAB</oddHeader>
    <oddFooter>&amp;L&amp;D  &amp;T  &amp;R&amp;F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Siegfried Linkwitz</cp:lastModifiedBy>
  <dcterms:created xsi:type="dcterms:W3CDTF">2000-10-22T17:27:57Z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