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7775" windowHeight="12120" activeTab="11"/>
  </bookViews>
  <sheets>
    <sheet name="1 - Buffer Stage" sheetId="1" r:id="rId1"/>
    <sheet name="2 - 12dB LR Xover" sheetId="2" r:id="rId2"/>
    <sheet name="3 - 24dB LR Xover" sheetId="3" r:id="rId3"/>
    <sheet name="4 - Delay Correction" sheetId="4" r:id="rId4"/>
    <sheet name="5 - Shelving Lowpass" sheetId="5" r:id="rId5"/>
    <sheet name="6 - Shelving Highpass" sheetId="6" r:id="rId6"/>
    <sheet name="7 - Notch Filter" sheetId="7" r:id="rId7"/>
    <sheet name="8 - 6dB per Octave Dipole Equal" sheetId="8" r:id="rId8"/>
    <sheet name="9 - Linkwitz Transform" sheetId="9" r:id="rId9"/>
    <sheet name="10 - Variable Gain" sheetId="10" r:id="rId10"/>
    <sheet name="Pluto Equaliser" sheetId="11" r:id="rId11"/>
    <sheet name="Closed Box Design" sheetId="12" r:id="rId12"/>
  </sheets>
  <externalReferences>
    <externalReference r:id="rId15"/>
  </externalReferences>
  <definedNames>
    <definedName name="Cdelay">'4 - Delay Correction'!$B$20</definedName>
    <definedName name="Clrxo">'2 - 12dB LR Xover'!$B$26</definedName>
    <definedName name="Co">'1 - Buffer Stage'!$B$25</definedName>
    <definedName name="Cxo">'3 - 24dB LR Xover'!$B$27</definedName>
    <definedName name="Cxolp">'1 - Buffer Stage'!$B$28</definedName>
    <definedName name="Eqc">'1 - Buffer Stage'!$B$33</definedName>
    <definedName name="Eqr">'1 - Buffer Stage'!$B$32</definedName>
    <definedName name="Eqr1">'1 - Buffer Stage'!$B$34</definedName>
    <definedName name="Freq">'1 - Buffer Stage'!$E$24</definedName>
    <definedName name="hpInvC">'6 - Shelving Highpass'!$B$25</definedName>
    <definedName name="hpInvR1">'6 - Shelving Highpass'!$B$22</definedName>
    <definedName name="hpInvR2">'6 - Shelving Highpass'!$B$23</definedName>
    <definedName name="hpInvR3">'6 - Shelving Highpass'!$B$24</definedName>
    <definedName name="InvC">'5 - Shelving Lowpass'!$B$19</definedName>
    <definedName name="InvR1">'5 - Shelving Lowpass'!$B$17</definedName>
    <definedName name="InvR2">'5 - Shelving Lowpass'!$B$18</definedName>
    <definedName name="microfarads">'1 - Buffer Stage'!$I$11</definedName>
    <definedName name="nanofarads">'1 - Buffer Stage'!$I$12</definedName>
    <definedName name="nInvC">'6 - Shelving Highpass'!$B$16</definedName>
    <definedName name="nInvR1">'6 - Shelving Highpass'!$B$14</definedName>
    <definedName name="nInvR2">'6 - Shelving Highpass'!$B$15</definedName>
    <definedName name="noninvC">'5 - Shelving Lowpass'!$B$25</definedName>
    <definedName name="noninvR1">'5 - Shelving Lowpass'!$B$22</definedName>
    <definedName name="noninvR2">'5 - Shelving Lowpass'!$B$23</definedName>
    <definedName name="noninvR3">'5 - Shelving Lowpass'!$B$24</definedName>
    <definedName name="picofarads">'1 - Buffer Stage'!$I$13</definedName>
    <definedName name="Rdelay">'4 - Delay Correction'!$B$19</definedName>
    <definedName name="Rlrhp">'2 - 12dB LR Xover'!$B$25</definedName>
    <definedName name="Rlrxo">'2 - 12dB LR Xover'!$B$25</definedName>
    <definedName name="Ro">'1 - Buffer Stage'!$B$24</definedName>
    <definedName name="Rxo">'3 - 24dB LR Xover'!$B$26</definedName>
    <definedName name="Rxolp">'1 - Buffer Stage'!$B$28</definedName>
  </definedNames>
  <calcPr fullCalcOnLoad="1"/>
</workbook>
</file>

<file path=xl/sharedStrings.xml><?xml version="1.0" encoding="utf-8"?>
<sst xmlns="http://schemas.openxmlformats.org/spreadsheetml/2006/main" count="648" uniqueCount="292">
  <si>
    <t>Ro:</t>
  </si>
  <si>
    <t>Co:</t>
  </si>
  <si>
    <t>F =</t>
  </si>
  <si>
    <t>Ohms</t>
  </si>
  <si>
    <t>Farads</t>
  </si>
  <si>
    <t>Hz</t>
  </si>
  <si>
    <t>R:</t>
  </si>
  <si>
    <t>C:</t>
  </si>
  <si>
    <t>F=</t>
  </si>
  <si>
    <t>Gain=</t>
  </si>
  <si>
    <t>Times</t>
  </si>
  <si>
    <t>dB</t>
  </si>
  <si>
    <t>6dB/Octave Highpass Buffer:</t>
  </si>
  <si>
    <t>12dB/Octave XO-Lowpass:</t>
  </si>
  <si>
    <t>Dipole EQ and 6dB/Octave Lowpass filter</t>
  </si>
  <si>
    <t>R2:</t>
  </si>
  <si>
    <t>R1:</t>
  </si>
  <si>
    <t>2 -  12 dB/oct Linkwitz-Riley crossover</t>
  </si>
  <si>
    <t>1 -  Buffer stage</t>
  </si>
  <si>
    <t>Capacitance:</t>
  </si>
  <si>
    <t>For "X" microfarads type XE-6</t>
  </si>
  <si>
    <t>For "X" nanofarads type XE-9</t>
  </si>
  <si>
    <t>For "X" picofarads type XE-12</t>
  </si>
  <si>
    <t>All the Rs have to be the same and all the Cs have to be the same</t>
  </si>
  <si>
    <t>Fp=</t>
  </si>
  <si>
    <t>3 -  24 dB/oct Linkwitz-Riley crossover</t>
  </si>
  <si>
    <t>Again, all the Rs have to be the same and all the Cs have to be the same</t>
  </si>
  <si>
    <t>4 -  Delay correction</t>
  </si>
  <si>
    <t>To=</t>
  </si>
  <si>
    <t>Seconds</t>
  </si>
  <si>
    <t>microseconds</t>
  </si>
  <si>
    <t>5 -  Shelving lowpass</t>
  </si>
  <si>
    <t>Inverting Configuration:</t>
  </si>
  <si>
    <t>Non-Inverting Configuration:</t>
  </si>
  <si>
    <t>R3:</t>
  </si>
  <si>
    <t>F1=</t>
  </si>
  <si>
    <t>F2=</t>
  </si>
  <si>
    <t>DC Gain</t>
  </si>
  <si>
    <t>6 -  Shelving highpass</t>
  </si>
  <si>
    <t>Inf. Gain</t>
  </si>
  <si>
    <t>F1:</t>
  </si>
  <si>
    <t>F2:</t>
  </si>
  <si>
    <t>Inf Gain</t>
  </si>
  <si>
    <t>7 -  Notch filter</t>
  </si>
  <si>
    <t>8 -  6 dB/oct dipole equalization</t>
  </si>
  <si>
    <t>A) The shelving lowpass filter cannot correct for a peak. </t>
  </si>
  <si>
    <t>B) The bridged-T based circuit is limited in the shape of curves that can be realized. It has also higher gain for opamp noise than signal at high frequencies. </t>
  </si>
  <si>
    <t>C) The shelving lowpass with added notch filter is the most flexible circuit. (models.htm#D)   Top</t>
  </si>
  <si>
    <t>No need to have any calculations here - The circuit to use is C. It can be calculated by calculating the two parts independently</t>
  </si>
  <si>
    <t>Using the calcs in 5 - Shelving Lowpass and 7 - Notch filter</t>
  </si>
  <si>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</si>
  <si>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</si>
  <si>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</si>
  <si>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</si>
  <si>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</si>
  <si>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</si>
  <si>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</si>
  <si>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</si>
  <si>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</si>
  <si>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</si>
  <si>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</si>
  <si>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</si>
  <si>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</si>
  <si>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</si>
  <si>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</si>
  <si>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</si>
  <si>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</si>
  <si>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</si>
  <si>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</si>
  <si>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</si>
  <si>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</si>
  <si>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</si>
  <si>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</si>
  <si>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</si>
  <si>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</si>
  <si>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</si>
  <si>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</si>
  <si>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</si>
  <si>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</si>
  <si>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</si>
  <si>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</si>
  <si>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</si>
  <si>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</si>
  <si>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</si>
  <si>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</si>
  <si>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</si>
  <si>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</si>
  <si>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</si>
  <si>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</si>
  <si>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</si>
  <si>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</si>
  <si>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</si>
  <si>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</si>
  <si>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</si>
  <si>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</si>
  <si>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</si>
  <si>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</si>
  <si>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</si>
  <si>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</si>
  <si>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</si>
  <si>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</si>
  <si>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</si>
  <si>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</si>
  <si>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</si>
  <si>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</si>
  <si>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</si>
  <si>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</si>
  <si>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</si>
  <si>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</si>
  <si>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</si>
  <si>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</si>
  <si>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</si>
  <si>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</si>
  <si>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</si>
  <si>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10 -  Variable gain</t>
  </si>
  <si>
    <t>Not really any calculations here - just choose suitable values for R1,R2 and R3.</t>
  </si>
  <si>
    <t>Probably seldom any reason to change the 5k values SL has chosen above.</t>
  </si>
  <si>
    <t>© LINKWITZ LAB - 27 July 2006</t>
  </si>
  <si>
    <t>Measured</t>
  </si>
  <si>
    <t>response</t>
  </si>
  <si>
    <t>Closed box woofer design</t>
  </si>
  <si>
    <t>Revision</t>
  </si>
  <si>
    <t>7/16/01 SL</t>
  </si>
  <si>
    <t>3/9/03 SL</t>
  </si>
  <si>
    <t>(Replace bold faced numbers with your own data)</t>
  </si>
  <si>
    <t xml:space="preserve">© LINKWITZ LAB </t>
  </si>
  <si>
    <t xml:space="preserve">7/2/02 SL </t>
  </si>
  <si>
    <t>5/2/03 SL</t>
  </si>
  <si>
    <t>1 - Driver data</t>
  </si>
  <si>
    <t>2 - Box data</t>
  </si>
  <si>
    <t>4 - Driver in box model</t>
  </si>
  <si>
    <t>7 - Power amplifier spec's</t>
  </si>
  <si>
    <t>Conversions</t>
  </si>
  <si>
    <t>Model =</t>
  </si>
  <si>
    <t>Peerless 830500 - XLS 12"</t>
  </si>
  <si>
    <t>Int. vol. =</t>
  </si>
  <si>
    <t>ltr</t>
  </si>
  <si>
    <t>Re =</t>
  </si>
  <si>
    <t>ohm</t>
  </si>
  <si>
    <t>P =</t>
  </si>
  <si>
    <t>W</t>
  </si>
  <si>
    <t>ltr   --&gt;</t>
  </si>
  <si>
    <t>in^3</t>
  </si>
  <si>
    <t>ohm *</t>
  </si>
  <si>
    <t>* = required parameters</t>
  </si>
  <si>
    <t>Qb =</t>
  </si>
  <si>
    <t>Le =</t>
  </si>
  <si>
    <t>mH</t>
  </si>
  <si>
    <t>Rload =</t>
  </si>
  <si>
    <t>in^3   --&gt;</t>
  </si>
  <si>
    <t>mH *</t>
  </si>
  <si>
    <t>C =</t>
  </si>
  <si>
    <t>uF</t>
  </si>
  <si>
    <t>Imax =</t>
  </si>
  <si>
    <t>A</t>
  </si>
  <si>
    <t>ft^3</t>
  </si>
  <si>
    <t xml:space="preserve">Fs = </t>
  </si>
  <si>
    <t>Cmb =</t>
  </si>
  <si>
    <t>mm/N</t>
  </si>
  <si>
    <t>L =</t>
  </si>
  <si>
    <t>ft^3  --&gt;</t>
  </si>
  <si>
    <t>Bl =</t>
  </si>
  <si>
    <t>N/A *</t>
  </si>
  <si>
    <t>Leb =</t>
  </si>
  <si>
    <t>R =</t>
  </si>
  <si>
    <t>Vpeak =</t>
  </si>
  <si>
    <t>V @ Rload</t>
  </si>
  <si>
    <t>m^3</t>
  </si>
  <si>
    <t>Qms =</t>
  </si>
  <si>
    <t>Rmb =</t>
  </si>
  <si>
    <t>Ns/m</t>
  </si>
  <si>
    <t>Ipeak =</t>
  </si>
  <si>
    <t>A @ Rload</t>
  </si>
  <si>
    <t>Qes =</t>
  </si>
  <si>
    <t>Reb =</t>
  </si>
  <si>
    <t>5 - Target response</t>
  </si>
  <si>
    <t>Qts =</t>
  </si>
  <si>
    <t xml:space="preserve">fp = </t>
  </si>
  <si>
    <t>8 - Dipole path length</t>
  </si>
  <si>
    <t>Rms =</t>
  </si>
  <si>
    <t>Ns/m *</t>
  </si>
  <si>
    <t>3 - Driver in box</t>
  </si>
  <si>
    <t>D =</t>
  </si>
  <si>
    <t>mm</t>
  </si>
  <si>
    <t>Box air spring distortion at Xmax</t>
  </si>
  <si>
    <t>Mms =</t>
  </si>
  <si>
    <t>g *</t>
  </si>
  <si>
    <t>Cms' =</t>
  </si>
  <si>
    <t>d2 =</t>
  </si>
  <si>
    <t>%</t>
  </si>
  <si>
    <t>Cms =</t>
  </si>
  <si>
    <t>mm/N *</t>
  </si>
  <si>
    <t>VAS' =</t>
  </si>
  <si>
    <t>F3db =</t>
  </si>
  <si>
    <t xml:space="preserve">Fequal = </t>
  </si>
  <si>
    <t>VAS =</t>
  </si>
  <si>
    <t>Fb =</t>
  </si>
  <si>
    <t>Sensitivity =</t>
  </si>
  <si>
    <t>dB @ 2.83V</t>
  </si>
  <si>
    <t>(approximate value for 2nd harmonic)</t>
  </si>
  <si>
    <t>Sd =</t>
  </si>
  <si>
    <t>cm2 *</t>
  </si>
  <si>
    <t>Qm =</t>
  </si>
  <si>
    <t>Xmax =</t>
  </si>
  <si>
    <t>mm *</t>
  </si>
  <si>
    <t>Qe =</t>
  </si>
  <si>
    <t>6 - Equalizer poles and zeros</t>
  </si>
  <si>
    <t>Box internal SPL at Xmax</t>
  </si>
  <si>
    <t>Qt =</t>
  </si>
  <si>
    <t>SPL =</t>
  </si>
  <si>
    <t xml:space="preserve">1a - Pole location (Qts &lt; 0.5) </t>
  </si>
  <si>
    <t>real 1 =</t>
  </si>
  <si>
    <t xml:space="preserve">3a - Pole location (Qt &lt; 0.5) </t>
  </si>
  <si>
    <t>Qt &lt; 0.5</t>
  </si>
  <si>
    <t>Closed room SPL at Xmax</t>
  </si>
  <si>
    <t>real 2 =</t>
  </si>
  <si>
    <t>f01 =</t>
  </si>
  <si>
    <t>Volume =</t>
  </si>
  <si>
    <t>f02 =</t>
  </si>
  <si>
    <t>1b - Pole location (Qts &gt; 0.5)</t>
  </si>
  <si>
    <t>Qt &gt; 0.5</t>
  </si>
  <si>
    <t>real =</t>
  </si>
  <si>
    <t>3b - Pole location (Qt &gt; 0.5)</t>
  </si>
  <si>
    <t>(Below lowest mode frequency)</t>
  </si>
  <si>
    <t>+/- imag =</t>
  </si>
  <si>
    <t>k =</t>
  </si>
  <si>
    <t>&gt;0  for LT</t>
  </si>
  <si>
    <t>g - max SPL for amplifier with Vpeak =</t>
  </si>
  <si>
    <t>a - Driver Impedance</t>
  </si>
  <si>
    <t>b - In-box impedance</t>
  </si>
  <si>
    <t>c - For 1V</t>
  </si>
  <si>
    <t>d - For Xmax =</t>
  </si>
  <si>
    <t>e - For 2.83V</t>
  </si>
  <si>
    <t>f - For 10Vpeak</t>
  </si>
  <si>
    <t>V</t>
  </si>
  <si>
    <t>h - Dipole</t>
  </si>
  <si>
    <t>Displacmt.</t>
  </si>
  <si>
    <t>8 ohm equiv. power</t>
  </si>
  <si>
    <t>SPL @ 1m</t>
  </si>
  <si>
    <t>Freq</t>
  </si>
  <si>
    <t>Real</t>
  </si>
  <si>
    <t>Imag</t>
  </si>
  <si>
    <t>Magn</t>
  </si>
  <si>
    <t>sensitivity</t>
  </si>
  <si>
    <t>Vpeak</t>
  </si>
  <si>
    <t>Ipeak</t>
  </si>
  <si>
    <t>VpIp/2</t>
  </si>
  <si>
    <t>at Ip</t>
  </si>
  <si>
    <t>at Vp</t>
  </si>
  <si>
    <t>free-space</t>
  </si>
  <si>
    <t>Frequ.</t>
  </si>
  <si>
    <t>Ref.</t>
  </si>
  <si>
    <t>j-ohm</t>
  </si>
  <si>
    <t>mm/V</t>
  </si>
  <si>
    <t>VA</t>
  </si>
  <si>
    <t>The worksheet below is lifted directly from SL's website</t>
  </si>
  <si>
    <t>F0Q0.gif from SL's website</t>
  </si>
  <si>
    <t>Synthesis:</t>
  </si>
  <si>
    <t>Fo</t>
  </si>
  <si>
    <t>Q</t>
  </si>
  <si>
    <t>a ( notch depth )</t>
  </si>
  <si>
    <t>R1 ( in a) above ):</t>
  </si>
  <si>
    <t>For Circuit C:</t>
  </si>
  <si>
    <t>This is used in Circuit C</t>
  </si>
  <si>
    <t>This is used in Circuit B</t>
  </si>
  <si>
    <t>Then in Circuit A:</t>
  </si>
  <si>
    <t>L:</t>
  </si>
  <si>
    <t>Henries</t>
  </si>
  <si>
    <t>c=L/(R1*R2)</t>
  </si>
  <si>
    <t>Rs=R1+R2</t>
  </si>
  <si>
    <t>Choose Rt</t>
  </si>
  <si>
    <t>This is the top resistor in the chain in circuit C, between the 120nF capacitor and the output terminal</t>
  </si>
  <si>
    <t>Choose R2</t>
  </si>
  <si>
    <t>The bottom resistor in the chain in circuit C.</t>
  </si>
  <si>
    <t>Top resistor in the chain - Between the output terminal and 120nF</t>
  </si>
  <si>
    <t>Choose R2:</t>
  </si>
  <si>
    <t>For circuit B:</t>
  </si>
  <si>
    <t>This needs to be high - to maximise Rp, which should be &gt;&gt; ZL in the operating range</t>
  </si>
  <si>
    <t>First, choose the following:</t>
  </si>
  <si>
    <t>Note - this also has a 6db/octave lowpass ( using the 200pF capacitor ) to roll off the gain at HF.</t>
  </si>
  <si>
    <t>Calculate this as:</t>
  </si>
  <si>
    <t>Clp</t>
  </si>
  <si>
    <t>This is the 220pF capacitor shown above</t>
  </si>
  <si>
    <t>The inverting configuration contains a capacitor which rolls off the gain at HF. The -3db frequency is set by the size of the cap in relation to the paralell resistance of the two resistors.</t>
  </si>
  <si>
    <t>Flp:</t>
  </si>
  <si>
    <t>Capacitor</t>
  </si>
  <si>
    <t>Farads ( this is shown as the 220pF capacitor above )</t>
  </si>
  <si>
    <t>Again, the capacitor in paralell with the feedback resistor ( shown as 100pF in the above drawings ) rolls off the gain at HF:</t>
  </si>
  <si>
    <t>Cap:</t>
  </si>
  <si>
    <t>Flp</t>
  </si>
  <si>
    <t>For the non-inverting case:</t>
  </si>
  <si>
    <t>For the inverting case: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</si>
</sst>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E+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8.2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right"/>
    </xf>
    <xf numFmtId="11" fontId="0" fillId="14" borderId="0" xfId="0" applyNumberFormat="1" applyFill="1" applyAlignment="1">
      <alignment/>
    </xf>
    <xf numFmtId="11" fontId="0" fillId="24" borderId="0" xfId="0" applyNumberFormat="1" applyFill="1" applyAlignment="1">
      <alignment/>
    </xf>
    <xf numFmtId="0" fontId="2" fillId="0" borderId="0" xfId="0" applyFont="1" applyAlignment="1">
      <alignment/>
    </xf>
    <xf numFmtId="2" fontId="0" fillId="1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17" xfId="0" applyNumberFormat="1" applyBorder="1" applyAlignment="1">
      <alignment/>
    </xf>
    <xf numFmtId="0" fontId="5" fillId="0" borderId="16" xfId="0" applyFont="1" applyBorder="1" applyAlignment="1" quotePrefix="1">
      <alignment/>
    </xf>
    <xf numFmtId="176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7" xfId="0" applyBorder="1" applyAlignment="1">
      <alignment horizontal="righ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>
      <alignment/>
      <protection/>
    </xf>
    <xf numFmtId="0" fontId="4" fillId="0" borderId="11" xfId="56" applyBorder="1">
      <alignment/>
      <protection/>
    </xf>
    <xf numFmtId="0" fontId="4" fillId="0" borderId="12" xfId="56" applyFont="1" applyBorder="1" applyAlignment="1">
      <alignment horizontal="right"/>
      <protection/>
    </xf>
    <xf numFmtId="0" fontId="5" fillId="0" borderId="13" xfId="56" applyFont="1" applyBorder="1" applyAlignment="1">
      <alignment horizontal="center"/>
      <protection/>
    </xf>
    <xf numFmtId="0" fontId="4" fillId="0" borderId="14" xfId="56" applyBorder="1" applyAlignment="1">
      <alignment horizontal="right"/>
      <protection/>
    </xf>
    <xf numFmtId="1" fontId="4" fillId="0" borderId="15" xfId="56" applyNumberFormat="1" applyBorder="1">
      <alignment/>
      <protection/>
    </xf>
    <xf numFmtId="0" fontId="4" fillId="0" borderId="14" xfId="56" applyBorder="1">
      <alignment/>
      <protection/>
    </xf>
    <xf numFmtId="0" fontId="4" fillId="0" borderId="0" xfId="56" applyAlignment="1">
      <alignment horizontal="right"/>
      <protection/>
    </xf>
    <xf numFmtId="2" fontId="4" fillId="0" borderId="12" xfId="56" applyNumberFormat="1" applyBorder="1">
      <alignment/>
      <protection/>
    </xf>
    <xf numFmtId="0" fontId="4" fillId="0" borderId="16" xfId="56" applyBorder="1">
      <alignment/>
      <protection/>
    </xf>
    <xf numFmtId="1" fontId="4" fillId="0" borderId="12" xfId="56" applyNumberFormat="1" applyBorder="1">
      <alignment/>
      <protection/>
    </xf>
    <xf numFmtId="0" fontId="4" fillId="0" borderId="0" xfId="56" applyBorder="1">
      <alignment/>
      <protection/>
    </xf>
    <xf numFmtId="0" fontId="4" fillId="0" borderId="17" xfId="56" applyFont="1" applyBorder="1" applyAlignment="1">
      <alignment horizontal="right"/>
      <protection/>
    </xf>
    <xf numFmtId="0" fontId="5" fillId="0" borderId="18" xfId="56" applyFont="1" applyBorder="1" applyAlignment="1">
      <alignment horizontal="center"/>
      <protection/>
    </xf>
    <xf numFmtId="0" fontId="4" fillId="0" borderId="16" xfId="56" applyBorder="1" applyAlignment="1">
      <alignment horizontal="right"/>
      <protection/>
    </xf>
    <xf numFmtId="2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center"/>
      <protection/>
    </xf>
    <xf numFmtId="0" fontId="4" fillId="0" borderId="0" xfId="56" applyAlignment="1">
      <alignment horizontal="left"/>
      <protection/>
    </xf>
    <xf numFmtId="1" fontId="4" fillId="0" borderId="17" xfId="56" applyNumberFormat="1" applyBorder="1">
      <alignment/>
      <protection/>
    </xf>
    <xf numFmtId="0" fontId="5" fillId="0" borderId="16" xfId="56" applyFont="1" applyBorder="1" quotePrefix="1">
      <alignment/>
      <protection/>
    </xf>
    <xf numFmtId="176" fontId="4" fillId="0" borderId="12" xfId="56" applyNumberFormat="1" applyBorder="1">
      <alignment/>
      <protection/>
    </xf>
    <xf numFmtId="0" fontId="4" fillId="0" borderId="0" xfId="56" quotePrefix="1">
      <alignment/>
      <protection/>
    </xf>
    <xf numFmtId="176" fontId="4" fillId="0" borderId="0" xfId="56" applyNumberFormat="1" applyBorder="1">
      <alignment/>
      <protection/>
    </xf>
    <xf numFmtId="2" fontId="4" fillId="0" borderId="0" xfId="56" applyNumberFormat="1">
      <alignment/>
      <protection/>
    </xf>
    <xf numFmtId="0" fontId="4" fillId="0" borderId="19" xfId="56" applyBorder="1">
      <alignment/>
      <protection/>
    </xf>
    <xf numFmtId="0" fontId="5" fillId="0" borderId="19" xfId="56" applyFont="1" applyBorder="1" applyAlignment="1">
      <alignment horizontal="right"/>
      <protection/>
    </xf>
    <xf numFmtId="2" fontId="4" fillId="0" borderId="10" xfId="56" applyNumberFormat="1" applyBorder="1">
      <alignment/>
      <protection/>
    </xf>
    <xf numFmtId="0" fontId="5" fillId="0" borderId="16" xfId="56" applyFont="1" applyBorder="1" applyAlignment="1">
      <alignment horizontal="right"/>
      <protection/>
    </xf>
    <xf numFmtId="0" fontId="5" fillId="0" borderId="20" xfId="56" applyFont="1" applyBorder="1">
      <alignment/>
      <protection/>
    </xf>
    <xf numFmtId="4" fontId="4" fillId="0" borderId="12" xfId="56" applyNumberFormat="1" applyBorder="1">
      <alignment/>
      <protection/>
    </xf>
    <xf numFmtId="0" fontId="4" fillId="0" borderId="0" xfId="56" applyBorder="1" applyAlignment="1">
      <alignment horizontal="right"/>
      <protection/>
    </xf>
    <xf numFmtId="0" fontId="4" fillId="0" borderId="15" xfId="56" applyFont="1" applyBorder="1" applyAlignment="1">
      <alignment horizontal="right"/>
      <protection/>
    </xf>
    <xf numFmtId="4" fontId="5" fillId="0" borderId="21" xfId="56" applyNumberFormat="1" applyFont="1" applyBorder="1" applyAlignment="1">
      <alignment horizontal="right"/>
      <protection/>
    </xf>
    <xf numFmtId="0" fontId="4" fillId="0" borderId="21" xfId="56" applyBorder="1">
      <alignment/>
      <protection/>
    </xf>
    <xf numFmtId="4" fontId="5" fillId="0" borderId="21" xfId="56" applyNumberFormat="1" applyFont="1" applyBorder="1">
      <alignment/>
      <protection/>
    </xf>
    <xf numFmtId="4" fontId="5" fillId="0" borderId="13" xfId="56" applyNumberFormat="1" applyFont="1" applyBorder="1" applyAlignment="1">
      <alignment horizontal="right"/>
      <protection/>
    </xf>
    <xf numFmtId="0" fontId="4" fillId="0" borderId="13" xfId="56" applyBorder="1">
      <alignment/>
      <protection/>
    </xf>
    <xf numFmtId="4" fontId="5" fillId="0" borderId="13" xfId="56" applyNumberFormat="1" applyFont="1" applyBorder="1">
      <alignment/>
      <protection/>
    </xf>
    <xf numFmtId="176" fontId="5" fillId="0" borderId="13" xfId="56" applyNumberFormat="1" applyFont="1" applyBorder="1" applyAlignment="1">
      <alignment horizontal="right"/>
      <protection/>
    </xf>
    <xf numFmtId="176" fontId="5" fillId="0" borderId="13" xfId="56" applyNumberFormat="1" applyFont="1" applyBorder="1">
      <alignment/>
      <protection/>
    </xf>
    <xf numFmtId="176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right"/>
      <protection/>
    </xf>
    <xf numFmtId="0" fontId="4" fillId="0" borderId="18" xfId="56" applyBorder="1">
      <alignment/>
      <protection/>
    </xf>
    <xf numFmtId="176" fontId="5" fillId="0" borderId="18" xfId="56" applyNumberFormat="1" applyFont="1" applyBorder="1">
      <alignment/>
      <protection/>
    </xf>
    <xf numFmtId="0" fontId="4" fillId="0" borderId="12" xfId="56" applyBorder="1" applyAlignment="1">
      <alignment horizontal="right"/>
      <protection/>
    </xf>
    <xf numFmtId="0" fontId="5" fillId="0" borderId="12" xfId="56" applyFont="1" applyBorder="1" applyAlignment="1">
      <alignment horizontal="left"/>
      <protection/>
    </xf>
    <xf numFmtId="0" fontId="4" fillId="0" borderId="0" xfId="56" applyAlignment="1">
      <alignment horizontal="centerContinuous"/>
      <protection/>
    </xf>
    <xf numFmtId="0" fontId="4" fillId="0" borderId="17" xfId="56" applyBorder="1" applyAlignment="1">
      <alignment horizontal="right"/>
      <protection/>
    </xf>
    <xf numFmtId="0" fontId="4" fillId="0" borderId="17" xfId="56" applyBorder="1" applyAlignment="1">
      <alignment horizontal="center"/>
      <protection/>
    </xf>
    <xf numFmtId="176" fontId="4" fillId="0" borderId="0" xfId="56" applyNumberFormat="1">
      <alignment/>
      <protection/>
    </xf>
    <xf numFmtId="0" fontId="5" fillId="0" borderId="12" xfId="56" applyFont="1" applyBorder="1" applyAlignment="1">
      <alignment horizontal="center"/>
      <protection/>
    </xf>
    <xf numFmtId="3" fontId="4" fillId="0" borderId="0" xfId="56" applyNumberFormat="1">
      <alignment/>
      <protection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 quotePrefix="1">
      <alignment horizontal="right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0" borderId="0" xfId="0" applyNumberFormat="1" applyFill="1" applyAlignment="1">
      <alignment horizontal="center"/>
    </xf>
    <xf numFmtId="1" fontId="0" fillId="2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56" applyFont="1">
      <alignment/>
      <protection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14" borderId="0" xfId="0" applyFill="1" applyAlignment="1">
      <alignment/>
    </xf>
    <xf numFmtId="11" fontId="0" fillId="24" borderId="0" xfId="0" applyNumberFormat="1" applyFill="1" applyAlignment="1">
      <alignment/>
    </xf>
    <xf numFmtId="2" fontId="0" fillId="14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ox-eq-plut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75"/>
          <c:w val="0.9455"/>
          <c:h val="0.830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'[1]PZ-EQL'!$D$37:$D$57</c:f>
              <c:numCache>
                <c:ptCount val="21"/>
                <c:pt idx="0">
                  <c:v>-34.14381753845776</c:v>
                </c:pt>
                <c:pt idx="1">
                  <c:v>-30.0414100743838</c:v>
                </c:pt>
                <c:pt idx="2">
                  <c:v>-25.885588524685584</c:v>
                </c:pt>
                <c:pt idx="3">
                  <c:v>-21.64294476466125</c:v>
                </c:pt>
                <c:pt idx="4">
                  <c:v>-17.25734783654154</c:v>
                </c:pt>
                <c:pt idx="5">
                  <c:v>-12.632143365774008</c:v>
                </c:pt>
                <c:pt idx="6">
                  <c:v>-7.598410655073876</c:v>
                </c:pt>
                <c:pt idx="7">
                  <c:v>-1.8939464605676752</c:v>
                </c:pt>
                <c:pt idx="8">
                  <c:v>4.280093105636595</c:v>
                </c:pt>
                <c:pt idx="9">
                  <c:v>6.580247359067675</c:v>
                </c:pt>
                <c:pt idx="10">
                  <c:v>4.491061056184483</c:v>
                </c:pt>
                <c:pt idx="11">
                  <c:v>2.730099197494302</c:v>
                </c:pt>
                <c:pt idx="12">
                  <c:v>1.6626363132548292</c:v>
                </c:pt>
                <c:pt idx="13">
                  <c:v>1.0233657941123084</c:v>
                </c:pt>
                <c:pt idx="14">
                  <c:v>0.6350815408495265</c:v>
                </c:pt>
                <c:pt idx="15">
                  <c:v>0.39627945319497826</c:v>
                </c:pt>
                <c:pt idx="16">
                  <c:v>0.24814007212935607</c:v>
                </c:pt>
                <c:pt idx="17">
                  <c:v>0.15572509398910483</c:v>
                </c:pt>
                <c:pt idx="18">
                  <c:v>0.09786576458390783</c:v>
                </c:pt>
                <c:pt idx="19">
                  <c:v>0.06155850256304518</c:v>
                </c:pt>
                <c:pt idx="20">
                  <c:v>0.038742533060244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'[1]PZ-EQL'!$F$37:$F$57</c:f>
              <c:numCache>
                <c:ptCount val="21"/>
                <c:pt idx="0">
                  <c:v>-12.345999157693985</c:v>
                </c:pt>
                <c:pt idx="1">
                  <c:v>-8.722993568333079</c:v>
                </c:pt>
                <c:pt idx="2">
                  <c:v>-5.544448172380526</c:v>
                </c:pt>
                <c:pt idx="3">
                  <c:v>-3.0980391997148637</c:v>
                </c:pt>
                <c:pt idx="4">
                  <c:v>-1.5307148968607773</c:v>
                </c:pt>
                <c:pt idx="5">
                  <c:v>-0.6955270172935819</c:v>
                </c:pt>
                <c:pt idx="6">
                  <c:v>-0.30479933113473656</c:v>
                </c:pt>
                <c:pt idx="7">
                  <c:v>-0.13356090516202457</c:v>
                </c:pt>
                <c:pt idx="8">
                  <c:v>-0.059919643237098086</c:v>
                </c:pt>
                <c:pt idx="9">
                  <c:v>-0.027953414503357976</c:v>
                </c:pt>
                <c:pt idx="10">
                  <c:v>-0.013690112444745495</c:v>
                </c:pt>
                <c:pt idx="11">
                  <c:v>-0.007062696162741133</c:v>
                </c:pt>
                <c:pt idx="12">
                  <c:v>-0.003828336629837281</c:v>
                </c:pt>
                <c:pt idx="13">
                  <c:v>-0.0021650601670302194</c:v>
                </c:pt>
                <c:pt idx="14">
                  <c:v>-0.0012659707105768803</c:v>
                </c:pt>
                <c:pt idx="15">
                  <c:v>-0.0007586356189861476</c:v>
                </c:pt>
                <c:pt idx="16">
                  <c:v>-0.0004624798416372755</c:v>
                </c:pt>
                <c:pt idx="17">
                  <c:v>-0.0002852197396876477</c:v>
                </c:pt>
                <c:pt idx="18">
                  <c:v>-0.00017724658895446055</c:v>
                </c:pt>
                <c:pt idx="19">
                  <c:v>-0.00011069373650229863</c:v>
                </c:pt>
                <c:pt idx="20">
                  <c:v>-6.934986613771343E-05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'[1]PZ-EQL'!$G$37:$G$57</c:f>
              <c:numCache>
                <c:ptCount val="21"/>
                <c:pt idx="0">
                  <c:v>21.797818380763776</c:v>
                </c:pt>
                <c:pt idx="1">
                  <c:v>21.318416506050724</c:v>
                </c:pt>
                <c:pt idx="2">
                  <c:v>20.341140352305057</c:v>
                </c:pt>
                <c:pt idx="3">
                  <c:v>18.544905564946387</c:v>
                </c:pt>
                <c:pt idx="4">
                  <c:v>15.726632939680764</c:v>
                </c:pt>
                <c:pt idx="5">
                  <c:v>11.936616348480426</c:v>
                </c:pt>
                <c:pt idx="6">
                  <c:v>7.29361132393914</c:v>
                </c:pt>
                <c:pt idx="7">
                  <c:v>1.7603855554056507</c:v>
                </c:pt>
                <c:pt idx="8">
                  <c:v>-4.3400127488736935</c:v>
                </c:pt>
                <c:pt idx="9">
                  <c:v>-6.608200773571033</c:v>
                </c:pt>
                <c:pt idx="10">
                  <c:v>-4.5047511686292285</c:v>
                </c:pt>
                <c:pt idx="11">
                  <c:v>-2.737161893657043</c:v>
                </c:pt>
                <c:pt idx="12">
                  <c:v>-1.6664646498846665</c:v>
                </c:pt>
                <c:pt idx="13">
                  <c:v>-1.0255308542793387</c:v>
                </c:pt>
                <c:pt idx="14">
                  <c:v>-0.6363475115601034</c:v>
                </c:pt>
                <c:pt idx="15">
                  <c:v>-0.3970380888139644</c:v>
                </c:pt>
                <c:pt idx="16">
                  <c:v>-0.24860255197099335</c:v>
                </c:pt>
                <c:pt idx="17">
                  <c:v>-0.15601031372879248</c:v>
                </c:pt>
                <c:pt idx="18">
                  <c:v>-0.0980430111728623</c:v>
                </c:pt>
                <c:pt idx="19">
                  <c:v>-0.06166919629954748</c:v>
                </c:pt>
                <c:pt idx="20">
                  <c:v>-0.03881188292638171</c:v>
                </c:pt>
              </c:numCache>
            </c:numRef>
          </c:val>
          <c:smooth val="0"/>
        </c:ser>
        <c:marker val="1"/>
        <c:axId val="7848950"/>
        <c:axId val="3531687"/>
      </c:lineChart>
      <c:catAx>
        <c:axId val="784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auto val="1"/>
        <c:lblOffset val="100"/>
        <c:tickLblSkip val="2"/>
        <c:noMultiLvlLbl val="0"/>
      </c:catAx>
      <c:valAx>
        <c:axId val="3531687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8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17625"/>
          <c:w val="0.258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25"/>
          <c:w val="0.96275"/>
          <c:h val="0.827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Equaliser'!$D$37:$D$57</c:f>
              <c:numCache>
                <c:ptCount val="21"/>
                <c:pt idx="0">
                  <c:v>-31.10252917353403</c:v>
                </c:pt>
                <c:pt idx="1">
                  <c:v>-27.078070630936104</c:v>
                </c:pt>
                <c:pt idx="2">
                  <c:v>-23.05206024129334</c:v>
                </c:pt>
                <c:pt idx="3">
                  <c:v>-19.030899869919434</c:v>
                </c:pt>
                <c:pt idx="4">
                  <c:v>-15.035857437288417</c:v>
                </c:pt>
                <c:pt idx="5">
                  <c:v>-11.127055245219156</c:v>
                </c:pt>
                <c:pt idx="6">
                  <c:v>-7.4527002398898805</c:v>
                </c:pt>
                <c:pt idx="7">
                  <c:v>-4.304095518798714</c:v>
                </c:pt>
                <c:pt idx="8">
                  <c:v>-2.0381278926457242</c:v>
                </c:pt>
                <c:pt idx="9">
                  <c:v>-0.760598740349363</c:v>
                </c:pt>
                <c:pt idx="10">
                  <c:v>-0.1987235907454057</c:v>
                </c:pt>
                <c:pt idx="11">
                  <c:v>-0.0009752245389726966</c:v>
                </c:pt>
                <c:pt idx="12">
                  <c:v>0.05012171199360438</c:v>
                </c:pt>
                <c:pt idx="13">
                  <c:v>0.051720256923246666</c:v>
                </c:pt>
                <c:pt idx="14">
                  <c:v>0.04052200401268635</c:v>
                </c:pt>
                <c:pt idx="15">
                  <c:v>0.02865587385401014</c:v>
                </c:pt>
                <c:pt idx="16">
                  <c:v>0.019286675281506405</c:v>
                </c:pt>
                <c:pt idx="17">
                  <c:v>0.01263784233362486</c:v>
                </c:pt>
                <c:pt idx="18">
                  <c:v>0.008154482748572889</c:v>
                </c:pt>
                <c:pt idx="19">
                  <c:v>0.005213514910010986</c:v>
                </c:pt>
                <c:pt idx="20">
                  <c:v>0.003314638036762574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Equaliser'!$F$37:$F$57</c:f>
              <c:numCache>
                <c:ptCount val="21"/>
                <c:pt idx="0">
                  <c:v>-40.002206364471064</c:v>
                </c:pt>
                <c:pt idx="1">
                  <c:v>-35.99017319612156</c:v>
                </c:pt>
                <c:pt idx="2">
                  <c:v>-31.97975179401052</c:v>
                </c:pt>
                <c:pt idx="3">
                  <c:v>-27.972816764103847</c:v>
                </c:pt>
                <c:pt idx="4">
                  <c:v>-23.973737213215017</c:v>
                </c:pt>
                <c:pt idx="5">
                  <c:v>-19.99288395920404</c:v>
                </c:pt>
                <c:pt idx="6">
                  <c:v>-16.054946937893828</c:v>
                </c:pt>
                <c:pt idx="7">
                  <c:v>-12.217445311137636</c:v>
                </c:pt>
                <c:pt idx="8">
                  <c:v>-8.605293872332153</c:v>
                </c:pt>
                <c:pt idx="9">
                  <c:v>-5.447105431035297</c:v>
                </c:pt>
                <c:pt idx="10">
                  <c:v>-3.0299047864216253</c:v>
                </c:pt>
                <c:pt idx="11">
                  <c:v>-1.4915957595278382</c:v>
                </c:pt>
                <c:pt idx="12">
                  <c:v>-0.6764052379371606</c:v>
                </c:pt>
                <c:pt idx="13">
                  <c:v>-0.29626654090431437</c:v>
                </c:pt>
                <c:pt idx="14">
                  <c:v>-0.12988324007933016</c:v>
                </c:pt>
                <c:pt idx="15">
                  <c:v>-0.058334854665215374</c:v>
                </c:pt>
                <c:pt idx="16">
                  <c:v>-0.02725600683957552</c:v>
                </c:pt>
                <c:pt idx="17">
                  <c:v>-0.013372061068835706</c:v>
                </c:pt>
                <c:pt idx="18">
                  <c:v>-0.006910806703061212</c:v>
                </c:pt>
                <c:pt idx="19">
                  <c:v>-0.0037519514430570666</c:v>
                </c:pt>
                <c:pt idx="20">
                  <c:v>-0.0021246120371003485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Equaliser'!$G$37:$G$57</c:f>
              <c:numCache>
                <c:ptCount val="21"/>
                <c:pt idx="0">
                  <c:v>-8.899677190937034</c:v>
                </c:pt>
                <c:pt idx="1">
                  <c:v>-8.912102565185457</c:v>
                </c:pt>
                <c:pt idx="2">
                  <c:v>-8.927691552717182</c:v>
                </c:pt>
                <c:pt idx="3">
                  <c:v>-8.941916894184413</c:v>
                </c:pt>
                <c:pt idx="4">
                  <c:v>-8.9378797759266</c:v>
                </c:pt>
                <c:pt idx="5">
                  <c:v>-8.865828713984884</c:v>
                </c:pt>
                <c:pt idx="6">
                  <c:v>-8.602246698003947</c:v>
                </c:pt>
                <c:pt idx="7">
                  <c:v>-7.913349792338922</c:v>
                </c:pt>
                <c:pt idx="8">
                  <c:v>-6.567165979686429</c:v>
                </c:pt>
                <c:pt idx="9">
                  <c:v>-4.686506690685934</c:v>
                </c:pt>
                <c:pt idx="10">
                  <c:v>-2.8311811956762196</c:v>
                </c:pt>
                <c:pt idx="11">
                  <c:v>-1.4906205349888655</c:v>
                </c:pt>
                <c:pt idx="12">
                  <c:v>-0.7265269499307649</c:v>
                </c:pt>
                <c:pt idx="13">
                  <c:v>-0.34798679782756103</c:v>
                </c:pt>
                <c:pt idx="14">
                  <c:v>-0.17040524409201652</c:v>
                </c:pt>
                <c:pt idx="15">
                  <c:v>-0.08699072851922551</c:v>
                </c:pt>
                <c:pt idx="16">
                  <c:v>-0.046542682121081924</c:v>
                </c:pt>
                <c:pt idx="17">
                  <c:v>-0.026009903402460566</c:v>
                </c:pt>
                <c:pt idx="18">
                  <c:v>-0.0150652894516341</c:v>
                </c:pt>
                <c:pt idx="19">
                  <c:v>-0.008965466353068052</c:v>
                </c:pt>
                <c:pt idx="20">
                  <c:v>-0.005439250073862922</c:v>
                </c:pt>
              </c:numCache>
            </c:numRef>
          </c:val>
          <c:smooth val="0"/>
        </c:ser>
        <c:ser>
          <c:idx val="1"/>
          <c:order val="3"/>
          <c:tx>
            <c:v>Measured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'Pluto Equaliser'!$I$37:$I$57</c:f>
              <c:numCache>
                <c:ptCount val="21"/>
                <c:pt idx="2">
                  <c:v>-27</c:v>
                </c:pt>
                <c:pt idx="3">
                  <c:v>-19</c:v>
                </c:pt>
                <c:pt idx="4">
                  <c:v>-15</c:v>
                </c:pt>
                <c:pt idx="5">
                  <c:v>-11</c:v>
                </c:pt>
                <c:pt idx="6">
                  <c:v>-7</c:v>
                </c:pt>
                <c:pt idx="7">
                  <c:v>-4.5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1785184"/>
        <c:axId val="17631201"/>
      </c:lineChart>
      <c:catAx>
        <c:axId val="31785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auto val="1"/>
        <c:lblOffset val="100"/>
        <c:tickLblSkip val="2"/>
        <c:noMultiLvlLbl val="0"/>
      </c:catAx>
      <c:valAx>
        <c:axId val="17631201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8675"/>
          <c:w val="0.153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381000</xdr:colOff>
      <xdr:row>21</xdr:row>
      <xdr:rowOff>57150</xdr:rowOff>
    </xdr:to>
    <xdr:pic>
      <xdr:nvPicPr>
        <xdr:cNvPr id="1" name="Picture 1" descr="w-xo-l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648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9</xdr:row>
      <xdr:rowOff>66675</xdr:rowOff>
    </xdr:to>
    <xdr:pic>
      <xdr:nvPicPr>
        <xdr:cNvPr id="1" name="Picture 1" descr="gainadj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18</xdr:col>
      <xdr:colOff>95250</xdr:colOff>
      <xdr:row>19</xdr:row>
      <xdr:rowOff>28575</xdr:rowOff>
    </xdr:to>
    <xdr:pic>
      <xdr:nvPicPr>
        <xdr:cNvPr id="2" name="Picture 2" descr="gain-ad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61925"/>
          <a:ext cx="6191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152400</xdr:rowOff>
    </xdr:from>
    <xdr:to>
      <xdr:col>24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629275" y="31432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0</xdr:row>
      <xdr:rowOff>0</xdr:rowOff>
    </xdr:from>
    <xdr:to>
      <xdr:col>29</xdr:col>
      <xdr:colOff>19050</xdr:colOff>
      <xdr:row>65</xdr:row>
      <xdr:rowOff>28575</xdr:rowOff>
    </xdr:to>
    <xdr:pic>
      <xdr:nvPicPr>
        <xdr:cNvPr id="2" name="Picture 2" descr="f0Q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0"/>
          <a:ext cx="3505200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</xdr:row>
      <xdr:rowOff>9525</xdr:rowOff>
    </xdr:from>
    <xdr:to>
      <xdr:col>5</xdr:col>
      <xdr:colOff>542925</xdr:colOff>
      <xdr:row>20</xdr:row>
      <xdr:rowOff>114300</xdr:rowOff>
    </xdr:to>
    <xdr:pic>
      <xdr:nvPicPr>
        <xdr:cNvPr id="1" name="Picture 1" descr="L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3095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7</xdr:col>
      <xdr:colOff>381000</xdr:colOff>
      <xdr:row>22</xdr:row>
      <xdr:rowOff>9525</xdr:rowOff>
    </xdr:to>
    <xdr:pic>
      <xdr:nvPicPr>
        <xdr:cNvPr id="1" name="Picture 1" descr="L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648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428625</xdr:colOff>
      <xdr:row>15</xdr:row>
      <xdr:rowOff>152400</xdr:rowOff>
    </xdr:to>
    <xdr:pic>
      <xdr:nvPicPr>
        <xdr:cNvPr id="1" name="Picture 1" descr="del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2450"/>
          <a:ext cx="4648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161925</xdr:colOff>
      <xdr:row>13</xdr:row>
      <xdr:rowOff>104775</xdr:rowOff>
    </xdr:to>
    <xdr:pic>
      <xdr:nvPicPr>
        <xdr:cNvPr id="1" name="Picture 1" descr="shlv-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485775</xdr:colOff>
      <xdr:row>78</xdr:row>
      <xdr:rowOff>76200</xdr:rowOff>
    </xdr:to>
    <xdr:pic>
      <xdr:nvPicPr>
        <xdr:cNvPr id="2" name="Picture 2" descr="shlv-l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61912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352425</xdr:colOff>
      <xdr:row>10</xdr:row>
      <xdr:rowOff>133350</xdr:rowOff>
    </xdr:to>
    <xdr:pic>
      <xdr:nvPicPr>
        <xdr:cNvPr id="1" name="Picture 1" descr="shlv-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85725</xdr:rowOff>
    </xdr:from>
    <xdr:to>
      <xdr:col>9</xdr:col>
      <xdr:colOff>114300</xdr:colOff>
      <xdr:row>87</xdr:row>
      <xdr:rowOff>19050</xdr:rowOff>
    </xdr:to>
    <xdr:pic>
      <xdr:nvPicPr>
        <xdr:cNvPr id="2" name="Picture 2" descr="shlv-h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00800"/>
          <a:ext cx="55626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123825</xdr:colOff>
      <xdr:row>15</xdr:row>
      <xdr:rowOff>0</xdr:rowOff>
    </xdr:to>
    <xdr:pic>
      <xdr:nvPicPr>
        <xdr:cNvPr id="1" name="Picture 1" descr="notc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123825</xdr:colOff>
      <xdr:row>78</xdr:row>
      <xdr:rowOff>152400</xdr:rowOff>
    </xdr:to>
    <xdr:pic>
      <xdr:nvPicPr>
        <xdr:cNvPr id="2" name="Picture 2" descr="notch_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6482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9525</xdr:rowOff>
    </xdr:from>
    <xdr:to>
      <xdr:col>16</xdr:col>
      <xdr:colOff>200025</xdr:colOff>
      <xdr:row>21</xdr:row>
      <xdr:rowOff>76200</xdr:rowOff>
    </xdr:to>
    <xdr:pic>
      <xdr:nvPicPr>
        <xdr:cNvPr id="3" name="Picture 3" descr="induct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71450"/>
          <a:ext cx="48768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</xdr:row>
      <xdr:rowOff>9525</xdr:rowOff>
    </xdr:from>
    <xdr:to>
      <xdr:col>17</xdr:col>
      <xdr:colOff>314325</xdr:colOff>
      <xdr:row>54</xdr:row>
      <xdr:rowOff>66675</xdr:rowOff>
    </xdr:to>
    <xdr:pic>
      <xdr:nvPicPr>
        <xdr:cNvPr id="4" name="Picture 4" descr="induct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5514975"/>
          <a:ext cx="55626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20</xdr:row>
      <xdr:rowOff>85725</xdr:rowOff>
    </xdr:to>
    <xdr:pic>
      <xdr:nvPicPr>
        <xdr:cNvPr id="1" name="Picture 1" descr="dpl-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381000</xdr:colOff>
      <xdr:row>15</xdr:row>
      <xdr:rowOff>85725</xdr:rowOff>
    </xdr:to>
    <xdr:pic>
      <xdr:nvPicPr>
        <xdr:cNvPr id="2" name="Picture 2" descr="dpl-eq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23850"/>
          <a:ext cx="4648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46</xdr:row>
      <xdr:rowOff>123825</xdr:rowOff>
    </xdr:from>
    <xdr:to>
      <xdr:col>14</xdr:col>
      <xdr:colOff>542925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4905375" y="7572375"/>
        <a:ext cx="4171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7</xdr:col>
      <xdr:colOff>381000</xdr:colOff>
      <xdr:row>14</xdr:row>
      <xdr:rowOff>9525</xdr:rowOff>
    </xdr:to>
    <xdr:pic>
      <xdr:nvPicPr>
        <xdr:cNvPr id="2" name="Picture 2" descr="pz-e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4648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nkwitzlab.com/pz-e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Z-EQL"/>
    </sheetNames>
    <sheetDataSet>
      <sheetData sheetId="0">
        <row r="37">
          <cell r="B37">
            <v>10</v>
          </cell>
          <cell r="D37">
            <v>-34.14381753845776</v>
          </cell>
          <cell r="F37">
            <v>-12.345999157693985</v>
          </cell>
          <cell r="G37">
            <v>21.797818380763776</v>
          </cell>
        </row>
        <row r="38">
          <cell r="B38">
            <v>12.599210498948732</v>
          </cell>
          <cell r="D38">
            <v>-30.0414100743838</v>
          </cell>
          <cell r="F38">
            <v>-8.722993568333079</v>
          </cell>
          <cell r="G38">
            <v>21.318416506050724</v>
          </cell>
        </row>
        <row r="39">
          <cell r="B39">
            <v>15.874010519681995</v>
          </cell>
          <cell r="D39">
            <v>-25.885588524685584</v>
          </cell>
          <cell r="F39">
            <v>-5.544448172380526</v>
          </cell>
          <cell r="G39">
            <v>20.341140352305057</v>
          </cell>
        </row>
        <row r="40">
          <cell r="B40">
            <v>20</v>
          </cell>
          <cell r="D40">
            <v>-21.64294476466125</v>
          </cell>
          <cell r="F40">
            <v>-3.0980391997148637</v>
          </cell>
          <cell r="G40">
            <v>18.544905564946387</v>
          </cell>
        </row>
        <row r="41">
          <cell r="B41">
            <v>25.198420997897465</v>
          </cell>
          <cell r="D41">
            <v>-17.25734783654154</v>
          </cell>
          <cell r="F41">
            <v>-1.5307148968607773</v>
          </cell>
          <cell r="G41">
            <v>15.726632939680764</v>
          </cell>
        </row>
        <row r="42">
          <cell r="B42">
            <v>31.74802103936399</v>
          </cell>
          <cell r="D42">
            <v>-12.632143365774008</v>
          </cell>
          <cell r="F42">
            <v>-0.6955270172935819</v>
          </cell>
          <cell r="G42">
            <v>11.936616348480426</v>
          </cell>
        </row>
        <row r="43">
          <cell r="B43">
            <v>40</v>
          </cell>
          <cell r="D43">
            <v>-7.598410655073876</v>
          </cell>
          <cell r="F43">
            <v>-0.30479933113473656</v>
          </cell>
          <cell r="G43">
            <v>7.29361132393914</v>
          </cell>
        </row>
        <row r="44">
          <cell r="B44">
            <v>50.39684199579493</v>
          </cell>
          <cell r="D44">
            <v>-1.8939464605676752</v>
          </cell>
          <cell r="F44">
            <v>-0.13356090516202457</v>
          </cell>
          <cell r="G44">
            <v>1.7603855554056507</v>
          </cell>
        </row>
        <row r="45">
          <cell r="B45">
            <v>63.49604207872798</v>
          </cell>
          <cell r="D45">
            <v>4.280093105636595</v>
          </cell>
          <cell r="F45">
            <v>-0.059919643237098086</v>
          </cell>
          <cell r="G45">
            <v>-4.3400127488736935</v>
          </cell>
        </row>
        <row r="46">
          <cell r="B46">
            <v>80</v>
          </cell>
          <cell r="D46">
            <v>6.580247359067675</v>
          </cell>
          <cell r="F46">
            <v>-0.027953414503357976</v>
          </cell>
          <cell r="G46">
            <v>-6.608200773571033</v>
          </cell>
        </row>
        <row r="47">
          <cell r="B47">
            <v>100.79368399158986</v>
          </cell>
          <cell r="D47">
            <v>4.491061056184483</v>
          </cell>
          <cell r="F47">
            <v>-0.013690112444745495</v>
          </cell>
          <cell r="G47">
            <v>-4.5047511686292285</v>
          </cell>
        </row>
        <row r="48">
          <cell r="B48">
            <v>126.99208415745596</v>
          </cell>
          <cell r="D48">
            <v>2.730099197494302</v>
          </cell>
          <cell r="F48">
            <v>-0.007062696162741133</v>
          </cell>
          <cell r="G48">
            <v>-2.737161893657043</v>
          </cell>
        </row>
        <row r="49">
          <cell r="B49">
            <v>160</v>
          </cell>
          <cell r="D49">
            <v>1.6626363132548292</v>
          </cell>
          <cell r="F49">
            <v>-0.003828336629837281</v>
          </cell>
          <cell r="G49">
            <v>-1.6664646498846665</v>
          </cell>
        </row>
        <row r="50">
          <cell r="B50">
            <v>201.58736798317972</v>
          </cell>
          <cell r="D50">
            <v>1.0233657941123084</v>
          </cell>
          <cell r="F50">
            <v>-0.0021650601670302194</v>
          </cell>
          <cell r="G50">
            <v>-1.0255308542793387</v>
          </cell>
        </row>
        <row r="51">
          <cell r="B51">
            <v>253.98416831491193</v>
          </cell>
          <cell r="D51">
            <v>0.6350815408495265</v>
          </cell>
          <cell r="F51">
            <v>-0.0012659707105768803</v>
          </cell>
          <cell r="G51">
            <v>-0.6363475115601034</v>
          </cell>
        </row>
        <row r="52">
          <cell r="B52">
            <v>320</v>
          </cell>
          <cell r="D52">
            <v>0.39627945319497826</v>
          </cell>
          <cell r="F52">
            <v>-0.0007586356189861476</v>
          </cell>
          <cell r="G52">
            <v>-0.3970380888139644</v>
          </cell>
        </row>
        <row r="53">
          <cell r="B53">
            <v>403.17473596635944</v>
          </cell>
          <cell r="D53">
            <v>0.24814007212935607</v>
          </cell>
          <cell r="F53">
            <v>-0.0004624798416372755</v>
          </cell>
          <cell r="G53">
            <v>-0.24860255197099335</v>
          </cell>
        </row>
        <row r="54">
          <cell r="B54">
            <v>507.96833662982385</v>
          </cell>
          <cell r="D54">
            <v>0.15572509398910483</v>
          </cell>
          <cell r="F54">
            <v>-0.0002852197396876477</v>
          </cell>
          <cell r="G54">
            <v>-0.15601031372879248</v>
          </cell>
        </row>
        <row r="55">
          <cell r="B55">
            <v>640</v>
          </cell>
          <cell r="D55">
            <v>0.09786576458390783</v>
          </cell>
          <cell r="F55">
            <v>-0.00017724658895446055</v>
          </cell>
          <cell r="G55">
            <v>-0.0980430111728623</v>
          </cell>
        </row>
        <row r="56">
          <cell r="B56">
            <v>806.3494719327189</v>
          </cell>
          <cell r="D56">
            <v>0.06155850256304518</v>
          </cell>
          <cell r="F56">
            <v>-0.00011069373650229863</v>
          </cell>
          <cell r="G56">
            <v>-0.06166919629954748</v>
          </cell>
        </row>
        <row r="57">
          <cell r="B57">
            <v>1015.9366732596477</v>
          </cell>
          <cell r="D57">
            <v>0.038742533060244</v>
          </cell>
          <cell r="F57">
            <v>-6.934986613771343E-05</v>
          </cell>
          <cell r="G57">
            <v>-0.03881188292638171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kwitzlab.com/images/graphics/shlv-lp2.gi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5">
      <selection activeCell="L17" sqref="L17"/>
    </sheetView>
  </sheetViews>
  <sheetFormatPr defaultColWidth="9.140625" defaultRowHeight="12.75"/>
  <cols>
    <col min="12" max="12" width="19.7109375" style="0" customWidth="1"/>
  </cols>
  <sheetData>
    <row r="1" ht="12.75">
      <c r="A1" s="7" t="s">
        <v>18</v>
      </c>
    </row>
    <row r="9" spans="9:13" ht="12.75">
      <c r="I9" t="s">
        <v>19</v>
      </c>
      <c r="L9" s="9"/>
      <c r="M9" s="9"/>
    </row>
    <row r="10" spans="12:13" ht="12.75">
      <c r="L10" s="9"/>
      <c r="M10" s="9"/>
    </row>
    <row r="11" spans="9:13" ht="12.75">
      <c r="I11" t="s">
        <v>20</v>
      </c>
      <c r="L11" s="173"/>
      <c r="M11" s="9"/>
    </row>
    <row r="12" spans="9:13" ht="12.75">
      <c r="I12" t="s">
        <v>21</v>
      </c>
      <c r="L12" s="173"/>
      <c r="M12" s="9"/>
    </row>
    <row r="13" spans="9:13" ht="12.75">
      <c r="I13" t="s">
        <v>22</v>
      </c>
      <c r="L13" s="173"/>
      <c r="M13" s="9"/>
    </row>
    <row r="14" spans="12:13" ht="12.75">
      <c r="L14" s="9"/>
      <c r="M14" s="9"/>
    </row>
    <row r="23" s="2" customFormat="1" ht="12.75">
      <c r="A23" s="2" t="s">
        <v>12</v>
      </c>
    </row>
    <row r="24" spans="1:6" ht="12.75">
      <c r="A24" s="4" t="s">
        <v>0</v>
      </c>
      <c r="B24" s="1">
        <v>21500</v>
      </c>
      <c r="C24" t="s">
        <v>3</v>
      </c>
      <c r="D24" s="4" t="s">
        <v>2</v>
      </c>
      <c r="E24" s="3">
        <f>1/(2*PI()*Ro*Co)</f>
        <v>7.402555492646296</v>
      </c>
      <c r="F24" t="s">
        <v>5</v>
      </c>
    </row>
    <row r="25" spans="1:3" ht="12.75">
      <c r="A25" s="4" t="s">
        <v>1</v>
      </c>
      <c r="B25" s="6">
        <v>1E-06</v>
      </c>
      <c r="C25" t="s">
        <v>4</v>
      </c>
    </row>
    <row r="27" ht="12.75">
      <c r="A27" s="2" t="s">
        <v>13</v>
      </c>
    </row>
    <row r="28" spans="1:6" ht="12.75">
      <c r="A28" s="4" t="s">
        <v>7</v>
      </c>
      <c r="B28" s="5">
        <v>1E-07</v>
      </c>
      <c r="C28" t="s">
        <v>4</v>
      </c>
      <c r="D28" s="4" t="s">
        <v>8</v>
      </c>
      <c r="E28" s="3">
        <f>1/(2*PI()*Cxolp*B29)</f>
        <v>100.09744848546876</v>
      </c>
      <c r="F28" t="s">
        <v>5</v>
      </c>
    </row>
    <row r="29" spans="1:3" ht="12.75">
      <c r="A29" s="4" t="s">
        <v>6</v>
      </c>
      <c r="B29" s="1">
        <v>15900</v>
      </c>
      <c r="C29" t="s">
        <v>3</v>
      </c>
    </row>
    <row r="31" s="2" customFormat="1" ht="12.75">
      <c r="A31" s="2" t="s">
        <v>14</v>
      </c>
    </row>
    <row r="32" spans="1:5" ht="12.75">
      <c r="A32" s="4" t="s">
        <v>15</v>
      </c>
      <c r="B32" s="1">
        <v>11000</v>
      </c>
      <c r="C32" t="s">
        <v>3</v>
      </c>
      <c r="D32" s="4" t="s">
        <v>8</v>
      </c>
      <c r="E32" s="3">
        <f>1/(2*PI()*Eqr*Eqc)</f>
        <v>3.078432168121767</v>
      </c>
    </row>
    <row r="33" spans="1:9" ht="12.75">
      <c r="A33" s="4" t="s">
        <v>7</v>
      </c>
      <c r="B33" s="6">
        <v>4.7E-06</v>
      </c>
      <c r="C33" t="s">
        <v>4</v>
      </c>
      <c r="D33" s="4" t="s">
        <v>9</v>
      </c>
      <c r="E33" s="3">
        <f>Eqr/Eqr1</f>
        <v>4.21455938697318</v>
      </c>
      <c r="F33" t="s">
        <v>10</v>
      </c>
      <c r="G33" s="4" t="s">
        <v>9</v>
      </c>
      <c r="H33" s="3">
        <f>20*LOG(E33)</f>
        <v>12.495043556398882</v>
      </c>
      <c r="I33" t="s">
        <v>11</v>
      </c>
    </row>
    <row r="34" spans="1:3" ht="12.75">
      <c r="A34" s="4" t="s">
        <v>16</v>
      </c>
      <c r="B34" s="1">
        <v>2610</v>
      </c>
      <c r="C3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7" t="s">
        <v>114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21" s="2" customFormat="1" ht="12.75">
      <c r="A21" s="2" t="s">
        <v>115</v>
      </c>
    </row>
    <row r="22" s="2" customFormat="1" ht="12.75">
      <c r="A22" s="2" t="s">
        <v>116</v>
      </c>
    </row>
  </sheetData>
  <sheetProtection/>
  <mergeCells count="1">
    <mergeCell ref="A3:A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63"/>
  <sheetViews>
    <sheetView showGridLines="0" zoomScale="75" zoomScaleNormal="75" zoomScalePageLayoutView="0" workbookViewId="0" topLeftCell="A1">
      <selection activeCell="N7" sqref="N7"/>
    </sheetView>
  </sheetViews>
  <sheetFormatPr defaultColWidth="8.7109375" defaultRowHeight="12.75"/>
  <cols>
    <col min="1" max="1" width="2.57421875" style="65" customWidth="1"/>
    <col min="2" max="2" width="8.7109375" style="65" customWidth="1"/>
    <col min="3" max="3" width="4.7109375" style="65" customWidth="1"/>
    <col min="4" max="4" width="10.00390625" style="65" customWidth="1"/>
    <col min="5" max="5" width="3.7109375" style="65" customWidth="1"/>
    <col min="6" max="6" width="8.7109375" style="65" customWidth="1"/>
    <col min="7" max="7" width="10.00390625" style="65" customWidth="1"/>
    <col min="8" max="8" width="3.7109375" style="65" customWidth="1"/>
    <col min="9" max="9" width="8.7109375" style="65" customWidth="1"/>
    <col min="10" max="10" width="9.7109375" style="65" customWidth="1"/>
    <col min="11" max="11" width="8.7109375" style="65" customWidth="1"/>
    <col min="12" max="12" width="3.7109375" style="65" customWidth="1"/>
    <col min="13" max="13" width="8.7109375" style="65" customWidth="1"/>
    <col min="14" max="14" width="9.57421875" style="65" customWidth="1"/>
    <col min="15" max="16384" width="8.7109375" style="65" customWidth="1"/>
  </cols>
  <sheetData>
    <row r="1" spans="20:24" ht="12.75">
      <c r="T1" s="175" t="s">
        <v>256</v>
      </c>
      <c r="X1"/>
    </row>
    <row r="2" spans="2:11" ht="12.75">
      <c r="B2" s="64" t="s">
        <v>104</v>
      </c>
      <c r="K2" s="66" t="s">
        <v>117</v>
      </c>
    </row>
    <row r="3" ht="12.75">
      <c r="B3" s="67" t="s">
        <v>87</v>
      </c>
    </row>
    <row r="4" ht="12.75">
      <c r="B4" s="67" t="s">
        <v>96</v>
      </c>
    </row>
    <row r="5" ht="12.75">
      <c r="B5" s="64"/>
    </row>
    <row r="6" spans="2:13" ht="12.75">
      <c r="B6" s="65" t="s">
        <v>112</v>
      </c>
      <c r="F6" s="68" t="s">
        <v>50</v>
      </c>
      <c r="G6" s="69"/>
      <c r="I6" s="65" t="s">
        <v>51</v>
      </c>
      <c r="M6" s="65" t="s">
        <v>52</v>
      </c>
    </row>
    <row r="7" spans="2:15" ht="12.75">
      <c r="B7" s="65" t="s">
        <v>113</v>
      </c>
      <c r="F7" s="70" t="s">
        <v>74</v>
      </c>
      <c r="G7" s="71">
        <v>60</v>
      </c>
      <c r="H7" s="65" t="s">
        <v>95</v>
      </c>
      <c r="I7" s="72" t="s">
        <v>53</v>
      </c>
      <c r="J7" s="73">
        <f>1000000/(2*PI()*J19*SQRT(J22*J24))</f>
        <v>59.60399460264797</v>
      </c>
      <c r="K7" s="74"/>
      <c r="M7" s="72" t="s">
        <v>53</v>
      </c>
      <c r="N7" s="73">
        <f>1000000/(2*PI()*N19*SQRT(N22*N24))</f>
        <v>59.313545284764764</v>
      </c>
      <c r="O7" s="74"/>
    </row>
    <row r="8" spans="6:14" ht="12.75">
      <c r="F8" s="70" t="s">
        <v>75</v>
      </c>
      <c r="G8" s="71">
        <v>0.75</v>
      </c>
      <c r="I8" s="75" t="s">
        <v>54</v>
      </c>
      <c r="J8" s="76">
        <f>J19*(SQRT(J22/J24))/(2*J19+J20)</f>
        <v>0.7376259625866679</v>
      </c>
      <c r="M8" s="75" t="s">
        <v>54</v>
      </c>
      <c r="N8" s="76">
        <f>N19*(SQRT(N22/N24))/(2*N19+N20)</f>
        <v>0.7412380035910905</v>
      </c>
    </row>
    <row r="9" spans="2:14" ht="12.75">
      <c r="B9" s="77" t="s">
        <v>86</v>
      </c>
      <c r="C9" s="77"/>
      <c r="D9" s="77"/>
      <c r="F9" s="70" t="s">
        <v>76</v>
      </c>
      <c r="G9" s="71">
        <v>100</v>
      </c>
      <c r="H9" s="65" t="s">
        <v>95</v>
      </c>
      <c r="I9" s="75" t="s">
        <v>55</v>
      </c>
      <c r="J9" s="78">
        <f>1000000/(2*PI()*J21*SQRT(J24*J23))</f>
        <v>102.26473324959441</v>
      </c>
      <c r="M9" s="75" t="s">
        <v>55</v>
      </c>
      <c r="N9" s="78">
        <f>1000000/(2*PI()*N21*SQRT(N24*N23))</f>
        <v>102.26473324959441</v>
      </c>
    </row>
    <row r="10" spans="2:15" ht="12.75">
      <c r="B10" s="79" t="s">
        <v>69</v>
      </c>
      <c r="D10" s="65" t="s">
        <v>69</v>
      </c>
      <c r="F10" s="80" t="s">
        <v>77</v>
      </c>
      <c r="G10" s="81">
        <v>0.7</v>
      </c>
      <c r="I10" s="82" t="s">
        <v>56</v>
      </c>
      <c r="J10" s="83">
        <f>(J21*SQRT(J23/J24))/(2*J21+J20)</f>
        <v>0.6719789776942373</v>
      </c>
      <c r="K10" s="77"/>
      <c r="M10" s="82" t="s">
        <v>56</v>
      </c>
      <c r="N10" s="83">
        <f>(N21*SQRT(N23/N24))/(2*N21+N20)</f>
        <v>0.6719789776942373</v>
      </c>
      <c r="O10" s="77"/>
    </row>
    <row r="11" spans="2:14" ht="12.75">
      <c r="B11" s="79" t="s">
        <v>70</v>
      </c>
      <c r="C11" s="74"/>
      <c r="D11" s="65" t="s">
        <v>71</v>
      </c>
      <c r="F11" s="80" t="s">
        <v>78</v>
      </c>
      <c r="G11" s="84">
        <v>100</v>
      </c>
      <c r="H11" s="65" t="s">
        <v>95</v>
      </c>
      <c r="I11" s="75" t="s">
        <v>58</v>
      </c>
      <c r="J11" s="78">
        <f>1000000/(PI()*J22*J19)</f>
        <v>44.64374280277569</v>
      </c>
      <c r="M11" s="75" t="s">
        <v>58</v>
      </c>
      <c r="N11" s="78">
        <f>1000000/(PI()*N22*N19)</f>
        <v>44.20970641441537</v>
      </c>
    </row>
    <row r="12" spans="2:15" ht="12.75">
      <c r="B12" s="85" t="s">
        <v>72</v>
      </c>
      <c r="D12" s="85" t="s">
        <v>73</v>
      </c>
      <c r="I12" s="82" t="s">
        <v>59</v>
      </c>
      <c r="J12" s="86">
        <f>1000000/(PI()*J23*J21)</f>
        <v>45.73417904939522</v>
      </c>
      <c r="K12" s="87" t="s">
        <v>85</v>
      </c>
      <c r="M12" s="82" t="s">
        <v>59</v>
      </c>
      <c r="N12" s="86">
        <f>1000000/(PI()*N23*N21)</f>
        <v>45.73417904939522</v>
      </c>
      <c r="O12" s="87" t="s">
        <v>85</v>
      </c>
    </row>
    <row r="13" spans="9:15" ht="12.75">
      <c r="I13" s="75" t="s">
        <v>60</v>
      </c>
      <c r="J13" s="88">
        <f>40*LOG(J7/J9)</f>
        <v>-9.378020925894454</v>
      </c>
      <c r="K13" s="89"/>
      <c r="M13" s="75" t="s">
        <v>60</v>
      </c>
      <c r="N13" s="88">
        <f>40*LOG(N7/N9)</f>
        <v>-9.462880257482507</v>
      </c>
      <c r="O13" s="89"/>
    </row>
    <row r="14" spans="2:15" ht="12.75">
      <c r="B14" s="67" t="s">
        <v>110</v>
      </c>
      <c r="I14" s="75"/>
      <c r="J14" s="90"/>
      <c r="K14" s="89"/>
      <c r="M14" s="75"/>
      <c r="N14" s="90"/>
      <c r="O14" s="89"/>
    </row>
    <row r="15" spans="2:10" ht="12.75">
      <c r="B15" s="67" t="s">
        <v>111</v>
      </c>
      <c r="F15" s="79" t="s">
        <v>90</v>
      </c>
      <c r="J15" s="65" t="s">
        <v>88</v>
      </c>
    </row>
    <row r="16" spans="5:12" ht="12.75">
      <c r="E16" s="75"/>
      <c r="F16" s="79" t="s">
        <v>92</v>
      </c>
      <c r="G16" s="75"/>
      <c r="H16" s="75"/>
      <c r="J16" s="65" t="s">
        <v>89</v>
      </c>
      <c r="L16" s="91"/>
    </row>
    <row r="17" spans="2:7" ht="12.75">
      <c r="B17" s="77" t="s">
        <v>61</v>
      </c>
      <c r="F17" s="77" t="s">
        <v>91</v>
      </c>
      <c r="G17" s="77"/>
    </row>
    <row r="18" spans="2:15" ht="12.75">
      <c r="B18" s="92"/>
      <c r="C18" s="93" t="s">
        <v>84</v>
      </c>
      <c r="D18" s="94">
        <f>((G7/G9)-(G8/G10))/((G8/G10)-(G9/G7))</f>
        <v>0.7919999999999998</v>
      </c>
      <c r="F18" s="95" t="s">
        <v>93</v>
      </c>
      <c r="G18" s="96">
        <v>1.01</v>
      </c>
      <c r="I18" s="68" t="s">
        <v>62</v>
      </c>
      <c r="J18" s="92"/>
      <c r="K18" s="69"/>
      <c r="M18" s="68" t="s">
        <v>63</v>
      </c>
      <c r="N18" s="92"/>
      <c r="O18" s="69"/>
    </row>
    <row r="19" spans="3:15" ht="12.75">
      <c r="C19" s="75" t="s">
        <v>64</v>
      </c>
      <c r="D19" s="97">
        <f>1000000/(2*PI()*G7*G11*(2*G8*(1+D18)))</f>
        <v>9.868238038932004</v>
      </c>
      <c r="F19" s="98" t="s">
        <v>64</v>
      </c>
      <c r="G19" s="97">
        <f>D19*G$18</f>
        <v>9.966920419321324</v>
      </c>
      <c r="I19" s="99" t="s">
        <v>79</v>
      </c>
      <c r="J19" s="100">
        <v>10</v>
      </c>
      <c r="K19" s="101" t="s">
        <v>94</v>
      </c>
      <c r="M19" s="70" t="s">
        <v>79</v>
      </c>
      <c r="N19" s="102">
        <v>10</v>
      </c>
      <c r="O19" s="101" t="s">
        <v>94</v>
      </c>
    </row>
    <row r="20" spans="3:15" ht="12.75">
      <c r="C20" s="75" t="s">
        <v>65</v>
      </c>
      <c r="D20" s="97">
        <f>2*D18*D19</f>
        <v>15.63128905366829</v>
      </c>
      <c r="F20" s="98" t="s">
        <v>65</v>
      </c>
      <c r="G20" s="97">
        <f>D20*G$18</f>
        <v>15.787601944204972</v>
      </c>
      <c r="I20" s="70" t="s">
        <v>80</v>
      </c>
      <c r="J20" s="103">
        <v>16.2</v>
      </c>
      <c r="K20" s="104" t="s">
        <v>94</v>
      </c>
      <c r="M20" s="70" t="s">
        <v>80</v>
      </c>
      <c r="N20" s="105">
        <v>16.2</v>
      </c>
      <c r="O20" s="104" t="s">
        <v>94</v>
      </c>
    </row>
    <row r="21" spans="3:15" ht="12.75">
      <c r="C21" s="75" t="s">
        <v>66</v>
      </c>
      <c r="D21" s="97">
        <f>D19*(G7/G9)^2</f>
        <v>3.5525656940155215</v>
      </c>
      <c r="F21" s="98" t="s">
        <v>66</v>
      </c>
      <c r="G21" s="97">
        <f>D21*G$18</f>
        <v>3.588091350955677</v>
      </c>
      <c r="I21" s="70" t="s">
        <v>81</v>
      </c>
      <c r="J21" s="103">
        <v>3.48</v>
      </c>
      <c r="K21" s="104" t="s">
        <v>94</v>
      </c>
      <c r="M21" s="70" t="s">
        <v>81</v>
      </c>
      <c r="N21" s="105">
        <v>3.48</v>
      </c>
      <c r="O21" s="104" t="s">
        <v>94</v>
      </c>
    </row>
    <row r="22" spans="3:15" ht="12.75">
      <c r="C22" s="75" t="s">
        <v>67</v>
      </c>
      <c r="D22" s="88">
        <f>G11*(2*G8*(1+D18))^2</f>
        <v>722.5343999999999</v>
      </c>
      <c r="F22" s="98" t="s">
        <v>67</v>
      </c>
      <c r="G22" s="88">
        <f>D22/G$18</f>
        <v>715.3805940594058</v>
      </c>
      <c r="I22" s="70" t="s">
        <v>82</v>
      </c>
      <c r="J22" s="106">
        <v>713</v>
      </c>
      <c r="K22" s="104" t="s">
        <v>97</v>
      </c>
      <c r="M22" s="70" t="s">
        <v>82</v>
      </c>
      <c r="N22" s="107">
        <v>720</v>
      </c>
      <c r="O22" s="104" t="s">
        <v>97</v>
      </c>
    </row>
    <row r="23" spans="3:15" ht="12.75">
      <c r="C23" s="75" t="s">
        <v>68</v>
      </c>
      <c r="D23" s="88">
        <f>D22*(G9/G7)^2</f>
        <v>2007.04</v>
      </c>
      <c r="F23" s="98" t="s">
        <v>68</v>
      </c>
      <c r="G23" s="88">
        <f>D23/G$18</f>
        <v>1987.1683168316831</v>
      </c>
      <c r="I23" s="70" t="s">
        <v>83</v>
      </c>
      <c r="J23" s="106">
        <v>2000</v>
      </c>
      <c r="K23" s="104" t="s">
        <v>97</v>
      </c>
      <c r="M23" s="70" t="s">
        <v>83</v>
      </c>
      <c r="N23" s="107">
        <v>2000</v>
      </c>
      <c r="O23" s="104" t="s">
        <v>97</v>
      </c>
    </row>
    <row r="24" spans="2:15" ht="12.75">
      <c r="B24" s="77"/>
      <c r="C24" s="82" t="s">
        <v>57</v>
      </c>
      <c r="D24" s="108">
        <f>G11</f>
        <v>100</v>
      </c>
      <c r="F24" s="82" t="s">
        <v>57</v>
      </c>
      <c r="G24" s="108">
        <f>G11/G$18</f>
        <v>99.00990099009901</v>
      </c>
      <c r="I24" s="80" t="s">
        <v>78</v>
      </c>
      <c r="J24" s="109">
        <v>100</v>
      </c>
      <c r="K24" s="110" t="s">
        <v>97</v>
      </c>
      <c r="M24" s="80" t="s">
        <v>78</v>
      </c>
      <c r="N24" s="111">
        <v>100</v>
      </c>
      <c r="O24" s="110" t="s">
        <v>97</v>
      </c>
    </row>
    <row r="25" spans="3:15" ht="12.75">
      <c r="C25" s="75" t="s">
        <v>60</v>
      </c>
      <c r="D25" s="88">
        <f>40*LOG(G7/G9)</f>
        <v>-8.873949984654256</v>
      </c>
      <c r="F25" s="79"/>
      <c r="G25" s="79"/>
      <c r="I25" s="79"/>
      <c r="J25" s="79"/>
      <c r="K25" s="79"/>
      <c r="L25" s="79"/>
      <c r="M25" s="79"/>
      <c r="N25" s="79" t="s">
        <v>95</v>
      </c>
      <c r="O25" s="79"/>
    </row>
    <row r="26" ht="12.75"/>
    <row r="27" ht="12.75">
      <c r="B27" s="65" t="s">
        <v>109</v>
      </c>
    </row>
    <row r="28" ht="12.75"/>
    <row r="29" ht="12.75"/>
    <row r="30" ht="12.75">
      <c r="B30" s="65" t="s">
        <v>106</v>
      </c>
    </row>
    <row r="31" ht="12.75">
      <c r="B31" s="65" t="s">
        <v>107</v>
      </c>
    </row>
    <row r="32" ht="12.75">
      <c r="B32" s="65" t="s">
        <v>108</v>
      </c>
    </row>
    <row r="33" ht="12.75"/>
    <row r="34" spans="4:9" ht="12.75">
      <c r="D34" s="112" t="s">
        <v>98</v>
      </c>
      <c r="E34" s="75"/>
      <c r="F34" s="75" t="s">
        <v>100</v>
      </c>
      <c r="I34" s="113" t="s">
        <v>118</v>
      </c>
    </row>
    <row r="35" spans="2:9" ht="12.75">
      <c r="B35" s="114" t="s">
        <v>102</v>
      </c>
      <c r="C35" s="114"/>
      <c r="D35" s="112" t="s">
        <v>99</v>
      </c>
      <c r="E35" s="75"/>
      <c r="F35" s="75" t="s">
        <v>101</v>
      </c>
      <c r="H35" s="75" t="s">
        <v>105</v>
      </c>
      <c r="I35" s="113" t="s">
        <v>119</v>
      </c>
    </row>
    <row r="36" spans="2:9" ht="12.75">
      <c r="B36" s="82" t="s">
        <v>5</v>
      </c>
      <c r="C36" s="77"/>
      <c r="D36" s="115" t="s">
        <v>11</v>
      </c>
      <c r="E36" s="82"/>
      <c r="F36" s="82" t="s">
        <v>11</v>
      </c>
      <c r="G36" s="82" t="s">
        <v>11</v>
      </c>
      <c r="H36" s="77"/>
      <c r="I36" s="116" t="s">
        <v>11</v>
      </c>
    </row>
    <row r="37" spans="2:9" ht="12.75">
      <c r="B37" s="68">
        <v>10</v>
      </c>
      <c r="C37" s="69"/>
      <c r="D37" s="88">
        <f aca="true" t="shared" si="0" ref="D37:D57">(40*LOG(B37/$G$7))-10*LOG(((((B37/$G$7)^2)-1)^2)+((B37/($G$7*$G$8))^2))</f>
        <v>-31.10252917353403</v>
      </c>
      <c r="F37" s="117">
        <f aca="true" t="shared" si="1" ref="F37:F57">40*LOG(B37/$G$9)-10*LOG(((((B37/$G$9)^2)-1)^2)+((B37/($G$9*$G$10))^2))</f>
        <v>-40.002206364471064</v>
      </c>
      <c r="G37" s="117">
        <f aca="true" t="shared" si="2" ref="G37:G57">F37-D37</f>
        <v>-8.899677190937034</v>
      </c>
      <c r="I37" s="118"/>
    </row>
    <row r="38" spans="2:9" ht="12.75">
      <c r="B38" s="119">
        <f aca="true" t="shared" si="3" ref="B38:B57">B37*2^(1/3)</f>
        <v>12.599210498948732</v>
      </c>
      <c r="D38" s="88">
        <f t="shared" si="0"/>
        <v>-27.078070630936104</v>
      </c>
      <c r="F38" s="117">
        <f t="shared" si="1"/>
        <v>-35.99017319612156</v>
      </c>
      <c r="G38" s="117">
        <f t="shared" si="2"/>
        <v>-8.912102565185457</v>
      </c>
      <c r="H38" s="75"/>
      <c r="I38" s="118"/>
    </row>
    <row r="39" spans="2:9" ht="12.75">
      <c r="B39" s="119">
        <f t="shared" si="3"/>
        <v>15.874010519681995</v>
      </c>
      <c r="D39" s="88">
        <f t="shared" si="0"/>
        <v>-23.05206024129334</v>
      </c>
      <c r="F39" s="117">
        <f t="shared" si="1"/>
        <v>-31.97975179401052</v>
      </c>
      <c r="G39" s="117">
        <f t="shared" si="2"/>
        <v>-8.927691552717182</v>
      </c>
      <c r="I39" s="118">
        <v>-27</v>
      </c>
    </row>
    <row r="40" spans="2:9" ht="12.75">
      <c r="B40" s="119">
        <f t="shared" si="3"/>
        <v>20</v>
      </c>
      <c r="D40" s="88">
        <f t="shared" si="0"/>
        <v>-19.030899869919434</v>
      </c>
      <c r="F40" s="117">
        <f t="shared" si="1"/>
        <v>-27.972816764103847</v>
      </c>
      <c r="G40" s="117">
        <f t="shared" si="2"/>
        <v>-8.941916894184413</v>
      </c>
      <c r="I40" s="118">
        <v>-19</v>
      </c>
    </row>
    <row r="41" spans="2:9" ht="12.75">
      <c r="B41" s="119">
        <f t="shared" si="3"/>
        <v>25.198420997897465</v>
      </c>
      <c r="D41" s="88">
        <f t="shared" si="0"/>
        <v>-15.035857437288417</v>
      </c>
      <c r="F41" s="117">
        <f t="shared" si="1"/>
        <v>-23.973737213215017</v>
      </c>
      <c r="G41" s="117">
        <f t="shared" si="2"/>
        <v>-8.9378797759266</v>
      </c>
      <c r="I41" s="118">
        <v>-15</v>
      </c>
    </row>
    <row r="42" spans="2:9" ht="12.75">
      <c r="B42" s="119">
        <f t="shared" si="3"/>
        <v>31.74802103936399</v>
      </c>
      <c r="D42" s="88">
        <f t="shared" si="0"/>
        <v>-11.127055245219156</v>
      </c>
      <c r="F42" s="117">
        <f t="shared" si="1"/>
        <v>-19.99288395920404</v>
      </c>
      <c r="G42" s="117">
        <f t="shared" si="2"/>
        <v>-8.865828713984884</v>
      </c>
      <c r="I42" s="118">
        <v>-11</v>
      </c>
    </row>
    <row r="43" spans="2:9" ht="12.75">
      <c r="B43" s="119">
        <f t="shared" si="3"/>
        <v>40</v>
      </c>
      <c r="D43" s="88">
        <f t="shared" si="0"/>
        <v>-7.4527002398898805</v>
      </c>
      <c r="F43" s="117">
        <f t="shared" si="1"/>
        <v>-16.054946937893828</v>
      </c>
      <c r="G43" s="117">
        <f t="shared" si="2"/>
        <v>-8.602246698003947</v>
      </c>
      <c r="I43" s="118">
        <v>-7</v>
      </c>
    </row>
    <row r="44" spans="2:9" ht="12.75">
      <c r="B44" s="119">
        <f t="shared" si="3"/>
        <v>50.39684199579493</v>
      </c>
      <c r="D44" s="88">
        <f t="shared" si="0"/>
        <v>-4.304095518798714</v>
      </c>
      <c r="F44" s="117">
        <f t="shared" si="1"/>
        <v>-12.217445311137636</v>
      </c>
      <c r="G44" s="117">
        <f t="shared" si="2"/>
        <v>-7.913349792338922</v>
      </c>
      <c r="I44" s="118">
        <v>-4.5</v>
      </c>
    </row>
    <row r="45" spans="2:9" ht="12.75">
      <c r="B45" s="119">
        <f t="shared" si="3"/>
        <v>63.49604207872798</v>
      </c>
      <c r="D45" s="88">
        <f t="shared" si="0"/>
        <v>-2.0381278926457242</v>
      </c>
      <c r="F45" s="117">
        <f t="shared" si="1"/>
        <v>-8.605293872332153</v>
      </c>
      <c r="G45" s="117">
        <f t="shared" si="2"/>
        <v>-6.567165979686429</v>
      </c>
      <c r="I45" s="118">
        <v>-2</v>
      </c>
    </row>
    <row r="46" spans="2:9" ht="12.75">
      <c r="B46" s="119">
        <f t="shared" si="3"/>
        <v>80</v>
      </c>
      <c r="D46" s="88">
        <f t="shared" si="0"/>
        <v>-0.760598740349363</v>
      </c>
      <c r="F46" s="117">
        <f t="shared" si="1"/>
        <v>-5.447105431035297</v>
      </c>
      <c r="G46" s="117">
        <f t="shared" si="2"/>
        <v>-4.686506690685934</v>
      </c>
      <c r="I46" s="118">
        <v>-1</v>
      </c>
    </row>
    <row r="47" spans="2:9" ht="12.75">
      <c r="B47" s="119">
        <f t="shared" si="3"/>
        <v>100.79368399158986</v>
      </c>
      <c r="D47" s="88">
        <f t="shared" si="0"/>
        <v>-0.1987235907454057</v>
      </c>
      <c r="F47" s="117">
        <f t="shared" si="1"/>
        <v>-3.0299047864216253</v>
      </c>
      <c r="G47" s="117">
        <f t="shared" si="2"/>
        <v>-2.8311811956762196</v>
      </c>
      <c r="I47" s="118">
        <v>0</v>
      </c>
    </row>
    <row r="48" spans="2:9" ht="12.75">
      <c r="B48" s="119">
        <f t="shared" si="3"/>
        <v>126.99208415745596</v>
      </c>
      <c r="D48" s="88">
        <f t="shared" si="0"/>
        <v>-0.0009752245389726966</v>
      </c>
      <c r="F48" s="117">
        <f t="shared" si="1"/>
        <v>-1.4915957595278382</v>
      </c>
      <c r="G48" s="117">
        <f t="shared" si="2"/>
        <v>-1.4906205349888655</v>
      </c>
      <c r="I48" s="118">
        <v>0</v>
      </c>
    </row>
    <row r="49" spans="2:9" ht="12.75">
      <c r="B49" s="119">
        <f t="shared" si="3"/>
        <v>160</v>
      </c>
      <c r="D49" s="88">
        <f t="shared" si="0"/>
        <v>0.05012171199360438</v>
      </c>
      <c r="F49" s="117">
        <f t="shared" si="1"/>
        <v>-0.6764052379371606</v>
      </c>
      <c r="G49" s="117">
        <f t="shared" si="2"/>
        <v>-0.7265269499307649</v>
      </c>
      <c r="I49" s="118">
        <v>0</v>
      </c>
    </row>
    <row r="50" spans="2:9" ht="12.75">
      <c r="B50" s="119">
        <f t="shared" si="3"/>
        <v>201.58736798317972</v>
      </c>
      <c r="D50" s="88">
        <f t="shared" si="0"/>
        <v>0.051720256923246666</v>
      </c>
      <c r="F50" s="117">
        <f t="shared" si="1"/>
        <v>-0.29626654090431437</v>
      </c>
      <c r="G50" s="117">
        <f t="shared" si="2"/>
        <v>-0.34798679782756103</v>
      </c>
      <c r="I50" s="118">
        <v>0</v>
      </c>
    </row>
    <row r="51" spans="2:9" ht="12.75">
      <c r="B51" s="119">
        <f t="shared" si="3"/>
        <v>253.98416831491193</v>
      </c>
      <c r="D51" s="88">
        <f t="shared" si="0"/>
        <v>0.04052200401268635</v>
      </c>
      <c r="F51" s="117">
        <f t="shared" si="1"/>
        <v>-0.12988324007933016</v>
      </c>
      <c r="G51" s="117">
        <f t="shared" si="2"/>
        <v>-0.17040524409201652</v>
      </c>
      <c r="I51" s="118">
        <v>0</v>
      </c>
    </row>
    <row r="52" spans="2:9" ht="12.75">
      <c r="B52" s="119">
        <f t="shared" si="3"/>
        <v>320</v>
      </c>
      <c r="D52" s="88">
        <f t="shared" si="0"/>
        <v>0.02865587385401014</v>
      </c>
      <c r="F52" s="117">
        <f t="shared" si="1"/>
        <v>-0.058334854665215374</v>
      </c>
      <c r="G52" s="117">
        <f t="shared" si="2"/>
        <v>-0.08699072851922551</v>
      </c>
      <c r="I52" s="118">
        <v>0</v>
      </c>
    </row>
    <row r="53" spans="2:9" ht="12.75">
      <c r="B53" s="119">
        <f t="shared" si="3"/>
        <v>403.17473596635944</v>
      </c>
      <c r="D53" s="88">
        <f t="shared" si="0"/>
        <v>0.019286675281506405</v>
      </c>
      <c r="F53" s="117">
        <f t="shared" si="1"/>
        <v>-0.02725600683957552</v>
      </c>
      <c r="G53" s="117">
        <f t="shared" si="2"/>
        <v>-0.046542682121081924</v>
      </c>
      <c r="I53" s="118">
        <v>0</v>
      </c>
    </row>
    <row r="54" spans="2:9" ht="12.75">
      <c r="B54" s="119">
        <f t="shared" si="3"/>
        <v>507.96833662982385</v>
      </c>
      <c r="D54" s="88">
        <f t="shared" si="0"/>
        <v>0.01263784233362486</v>
      </c>
      <c r="F54" s="117">
        <f t="shared" si="1"/>
        <v>-0.013372061068835706</v>
      </c>
      <c r="G54" s="117">
        <f t="shared" si="2"/>
        <v>-0.026009903402460566</v>
      </c>
      <c r="I54" s="118">
        <v>0</v>
      </c>
    </row>
    <row r="55" spans="2:9" ht="12.75">
      <c r="B55" s="119">
        <f t="shared" si="3"/>
        <v>640</v>
      </c>
      <c r="D55" s="88">
        <f t="shared" si="0"/>
        <v>0.008154482748572889</v>
      </c>
      <c r="F55" s="117">
        <f t="shared" si="1"/>
        <v>-0.006910806703061212</v>
      </c>
      <c r="G55" s="117">
        <f t="shared" si="2"/>
        <v>-0.0150652894516341</v>
      </c>
      <c r="I55" s="118">
        <v>0</v>
      </c>
    </row>
    <row r="56" spans="2:9" ht="12.75">
      <c r="B56" s="119">
        <f t="shared" si="3"/>
        <v>806.3494719327189</v>
      </c>
      <c r="D56" s="88">
        <f t="shared" si="0"/>
        <v>0.005213514910010986</v>
      </c>
      <c r="F56" s="117">
        <f t="shared" si="1"/>
        <v>-0.0037519514430570666</v>
      </c>
      <c r="G56" s="117">
        <f t="shared" si="2"/>
        <v>-0.008965466353068052</v>
      </c>
      <c r="I56" s="118">
        <v>0</v>
      </c>
    </row>
    <row r="57" spans="2:9" ht="12.75">
      <c r="B57" s="119">
        <f t="shared" si="3"/>
        <v>1015.9366732596477</v>
      </c>
      <c r="D57" s="88">
        <f t="shared" si="0"/>
        <v>0.003314638036762574</v>
      </c>
      <c r="F57" s="117">
        <f t="shared" si="1"/>
        <v>-0.0021246120371003485</v>
      </c>
      <c r="G57" s="117">
        <f t="shared" si="2"/>
        <v>-0.005439250073862922</v>
      </c>
      <c r="I57" s="118">
        <v>0</v>
      </c>
    </row>
    <row r="58" spans="2:7" ht="12.75">
      <c r="B58" s="119"/>
      <c r="D58" s="90"/>
      <c r="F58" s="117"/>
      <c r="G58" s="117"/>
    </row>
    <row r="59" spans="2:7" ht="12.75">
      <c r="B59" s="119"/>
      <c r="D59" s="90"/>
      <c r="F59" s="117"/>
      <c r="G59" s="117"/>
    </row>
    <row r="60" spans="2:7" ht="12.75">
      <c r="B60" s="119"/>
      <c r="D60" s="90"/>
      <c r="F60" s="117"/>
      <c r="G60" s="117"/>
    </row>
    <row r="61" spans="2:7" ht="12.75">
      <c r="B61" s="119"/>
      <c r="D61" s="90"/>
      <c r="F61" s="117"/>
      <c r="G61" s="117"/>
    </row>
    <row r="62" spans="2:7" ht="12.75">
      <c r="B62" s="119"/>
      <c r="D62" s="90"/>
      <c r="F62" s="117"/>
      <c r="G62" s="117"/>
    </row>
    <row r="63" spans="2:7" ht="12.75">
      <c r="B63" s="119"/>
      <c r="D63" s="90"/>
      <c r="F63" s="117"/>
      <c r="G63" s="117"/>
    </row>
    <row r="64" ht="12.75"/>
    <row r="65" ht="12.75"/>
  </sheetData>
  <sheetProtection/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zoomScalePageLayoutView="0" workbookViewId="0" topLeftCell="A13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2" t="s">
        <v>120</v>
      </c>
      <c r="J2" s="4" t="s">
        <v>121</v>
      </c>
      <c r="L2" s="36" t="s">
        <v>122</v>
      </c>
      <c r="N2" s="36" t="s">
        <v>123</v>
      </c>
    </row>
    <row r="3" spans="2:14" ht="12.75">
      <c r="B3" s="10" t="s">
        <v>124</v>
      </c>
      <c r="G3" s="2" t="s">
        <v>125</v>
      </c>
      <c r="L3" s="36" t="s">
        <v>126</v>
      </c>
      <c r="M3" s="36"/>
      <c r="N3" s="36" t="s">
        <v>127</v>
      </c>
    </row>
    <row r="5" spans="2:24" ht="12.75">
      <c r="B5" s="10" t="s">
        <v>128</v>
      </c>
      <c r="H5" t="s">
        <v>129</v>
      </c>
      <c r="L5" t="s">
        <v>130</v>
      </c>
      <c r="Q5" t="s">
        <v>131</v>
      </c>
      <c r="U5" s="26" t="s">
        <v>132</v>
      </c>
      <c r="V5" s="26"/>
      <c r="W5" s="26"/>
      <c r="X5" s="26"/>
    </row>
    <row r="6" spans="2:24" ht="12.75">
      <c r="B6" s="120" t="s">
        <v>133</v>
      </c>
      <c r="C6" s="121" t="s">
        <v>134</v>
      </c>
      <c r="D6" s="22"/>
      <c r="E6" s="22"/>
      <c r="F6" s="122"/>
      <c r="H6" s="120" t="s">
        <v>135</v>
      </c>
      <c r="I6" s="123">
        <v>47</v>
      </c>
      <c r="J6" s="122" t="s">
        <v>136</v>
      </c>
      <c r="K6" s="26"/>
      <c r="L6" s="120" t="s">
        <v>137</v>
      </c>
      <c r="M6" s="22"/>
      <c r="N6" s="124">
        <f>C7</f>
        <v>3.5</v>
      </c>
      <c r="O6" s="122" t="s">
        <v>138</v>
      </c>
      <c r="Q6" s="120" t="s">
        <v>139</v>
      </c>
      <c r="R6" s="123">
        <v>180</v>
      </c>
      <c r="S6" s="122" t="s">
        <v>140</v>
      </c>
      <c r="U6" s="125">
        <v>47</v>
      </c>
      <c r="V6" s="126" t="s">
        <v>141</v>
      </c>
      <c r="W6" s="127">
        <f>61.02*U6</f>
        <v>2867.94</v>
      </c>
      <c r="X6" s="122" t="s">
        <v>142</v>
      </c>
    </row>
    <row r="7" spans="2:24" ht="12.75">
      <c r="B7" s="59" t="s">
        <v>137</v>
      </c>
      <c r="C7" s="128">
        <v>3.5</v>
      </c>
      <c r="D7" s="26" t="s">
        <v>143</v>
      </c>
      <c r="E7" s="26" t="s">
        <v>144</v>
      </c>
      <c r="F7" s="129"/>
      <c r="H7" s="59" t="s">
        <v>145</v>
      </c>
      <c r="I7" s="128">
        <v>50</v>
      </c>
      <c r="J7" s="129"/>
      <c r="K7" s="26"/>
      <c r="L7" s="59" t="s">
        <v>146</v>
      </c>
      <c r="M7" s="26"/>
      <c r="N7" s="130">
        <f>C8</f>
        <v>4.2</v>
      </c>
      <c r="O7" s="129" t="s">
        <v>147</v>
      </c>
      <c r="Q7" s="59" t="s">
        <v>148</v>
      </c>
      <c r="R7" s="128">
        <v>8</v>
      </c>
      <c r="S7" s="129" t="s">
        <v>138</v>
      </c>
      <c r="U7" s="131">
        <v>3051</v>
      </c>
      <c r="V7" s="132" t="s">
        <v>149</v>
      </c>
      <c r="W7" s="133">
        <f>U7/61.02</f>
        <v>50</v>
      </c>
      <c r="X7" s="129" t="s">
        <v>136</v>
      </c>
    </row>
    <row r="8" spans="2:24" ht="12.75">
      <c r="B8" s="59" t="s">
        <v>146</v>
      </c>
      <c r="C8" s="128">
        <v>4.2</v>
      </c>
      <c r="D8" s="26" t="s">
        <v>150</v>
      </c>
      <c r="E8" s="26"/>
      <c r="F8" s="129"/>
      <c r="H8" s="134"/>
      <c r="I8" s="26"/>
      <c r="J8" s="129"/>
      <c r="K8" s="26"/>
      <c r="L8" s="59" t="s">
        <v>151</v>
      </c>
      <c r="M8" s="26"/>
      <c r="N8" s="133">
        <f>1000*C15/(C10^2)</f>
        <v>536.8672520661156</v>
      </c>
      <c r="O8" s="129" t="s">
        <v>152</v>
      </c>
      <c r="Q8" s="59" t="s">
        <v>153</v>
      </c>
      <c r="R8" s="128">
        <v>12</v>
      </c>
      <c r="S8" s="129" t="s">
        <v>154</v>
      </c>
      <c r="U8" s="131">
        <v>2868</v>
      </c>
      <c r="V8" s="132" t="s">
        <v>149</v>
      </c>
      <c r="W8" s="135">
        <f>U8/1728</f>
        <v>1.6597222222222223</v>
      </c>
      <c r="X8" s="129" t="s">
        <v>155</v>
      </c>
    </row>
    <row r="9" spans="2:24" ht="12.75">
      <c r="B9" s="59" t="s">
        <v>156</v>
      </c>
      <c r="C9" s="128">
        <v>18.1</v>
      </c>
      <c r="D9" s="26" t="s">
        <v>5</v>
      </c>
      <c r="E9" s="136">
        <f>1/(2*PI()*SQRT(E15*E16*0.000000001))</f>
        <v>18.19680290739042</v>
      </c>
      <c r="F9" s="129" t="s">
        <v>5</v>
      </c>
      <c r="H9" s="59" t="s">
        <v>157</v>
      </c>
      <c r="I9" s="137">
        <f>I6/(1.2*(343*C18*0.0001)^2)</f>
        <v>0.1533050772865137</v>
      </c>
      <c r="J9" s="129" t="s">
        <v>158</v>
      </c>
      <c r="K9" s="26"/>
      <c r="L9" s="59" t="s">
        <v>159</v>
      </c>
      <c r="M9" s="26"/>
      <c r="N9" s="133">
        <f>I15*C10^2</f>
        <v>35.61747643957549</v>
      </c>
      <c r="O9" s="129" t="s">
        <v>147</v>
      </c>
      <c r="Q9" s="134"/>
      <c r="R9" s="26"/>
      <c r="S9" s="129"/>
      <c r="U9" s="131">
        <v>1.77</v>
      </c>
      <c r="V9" s="26" t="s">
        <v>160</v>
      </c>
      <c r="W9" s="133">
        <f>28.32*U9</f>
        <v>50.126400000000004</v>
      </c>
      <c r="X9" s="129" t="s">
        <v>136</v>
      </c>
    </row>
    <row r="10" spans="2:24" ht="12.75">
      <c r="B10" s="59" t="s">
        <v>161</v>
      </c>
      <c r="C10" s="128">
        <v>17.6</v>
      </c>
      <c r="D10" s="26" t="s">
        <v>162</v>
      </c>
      <c r="E10" s="45"/>
      <c r="F10" s="129"/>
      <c r="H10" s="59" t="s">
        <v>163</v>
      </c>
      <c r="I10" s="133">
        <f>I9*C10^2</f>
        <v>47.487780740270495</v>
      </c>
      <c r="J10" s="129" t="s">
        <v>147</v>
      </c>
      <c r="K10" s="26"/>
      <c r="L10" s="61" t="s">
        <v>164</v>
      </c>
      <c r="M10" s="24"/>
      <c r="N10" s="138">
        <f>((C10^2)/C14)*I12/(I12+((C10^2)/C14))</f>
        <v>54.43479960775189</v>
      </c>
      <c r="O10" s="139" t="s">
        <v>138</v>
      </c>
      <c r="Q10" s="59" t="s">
        <v>165</v>
      </c>
      <c r="R10" s="133">
        <f>1.41*SQRT(R6*R7)</f>
        <v>53.50573801004898</v>
      </c>
      <c r="S10" s="129" t="s">
        <v>166</v>
      </c>
      <c r="U10" s="140">
        <v>3500</v>
      </c>
      <c r="V10" s="24" t="s">
        <v>160</v>
      </c>
      <c r="W10" s="138">
        <f>U10/35.31</f>
        <v>99.12206173888416</v>
      </c>
      <c r="X10" s="139" t="s">
        <v>167</v>
      </c>
    </row>
    <row r="11" spans="2:19" ht="12.75">
      <c r="B11" s="59" t="s">
        <v>168</v>
      </c>
      <c r="C11" s="128">
        <v>3.7</v>
      </c>
      <c r="D11" s="26"/>
      <c r="E11" s="141">
        <f>E14/(2*PI()*E9*E16/1000)</f>
        <v>3.713618167939272</v>
      </c>
      <c r="F11" s="129"/>
      <c r="H11" s="59" t="s">
        <v>169</v>
      </c>
      <c r="I11" s="135">
        <f>C10^2/I12</f>
        <v>0.5704774561875683</v>
      </c>
      <c r="J11" s="129" t="s">
        <v>170</v>
      </c>
      <c r="Q11" s="61" t="s">
        <v>171</v>
      </c>
      <c r="R11" s="138">
        <f>1.41*SQRT(R6/R7)</f>
        <v>6.688217251256122</v>
      </c>
      <c r="S11" s="139" t="s">
        <v>172</v>
      </c>
    </row>
    <row r="12" spans="2:12" ht="12.75">
      <c r="B12" s="59" t="s">
        <v>173</v>
      </c>
      <c r="C12" s="128">
        <v>0.21</v>
      </c>
      <c r="D12" s="26"/>
      <c r="E12" s="141">
        <f>C7/(2*PI()*E9*E16/1000)</f>
        <v>0.21483741467417275</v>
      </c>
      <c r="F12" s="129"/>
      <c r="H12" s="61" t="s">
        <v>174</v>
      </c>
      <c r="I12" s="142">
        <f>I7*2*PI()*I17*I10/1000</f>
        <v>542.983770244119</v>
      </c>
      <c r="J12" s="139" t="s">
        <v>138</v>
      </c>
      <c r="L12" t="s">
        <v>175</v>
      </c>
    </row>
    <row r="13" spans="2:18" ht="12.75">
      <c r="B13" s="59" t="s">
        <v>176</v>
      </c>
      <c r="C13" s="128">
        <v>0.2</v>
      </c>
      <c r="D13" s="26"/>
      <c r="E13" s="141">
        <f>E11*E12/(E11+E12)</f>
        <v>0.2030884935591789</v>
      </c>
      <c r="F13" s="129"/>
      <c r="K13" s="26"/>
      <c r="L13" s="120" t="s">
        <v>177</v>
      </c>
      <c r="M13" s="22"/>
      <c r="N13" s="123">
        <v>20</v>
      </c>
      <c r="O13" s="122" t="s">
        <v>5</v>
      </c>
      <c r="Q13" t="s">
        <v>178</v>
      </c>
      <c r="R13" s="143"/>
    </row>
    <row r="14" spans="2:21" ht="12.75">
      <c r="B14" s="59" t="s">
        <v>179</v>
      </c>
      <c r="C14" s="128">
        <v>5.12</v>
      </c>
      <c r="D14" s="26" t="s">
        <v>180</v>
      </c>
      <c r="E14" s="45">
        <f>(C10^2)/C14</f>
        <v>60.50000000000001</v>
      </c>
      <c r="F14" s="129" t="s">
        <v>138</v>
      </c>
      <c r="H14" s="32" t="s">
        <v>181</v>
      </c>
      <c r="K14" s="26"/>
      <c r="L14" s="59" t="s">
        <v>77</v>
      </c>
      <c r="M14" s="26"/>
      <c r="N14" s="128">
        <v>0.5</v>
      </c>
      <c r="O14" s="129"/>
      <c r="Q14" s="120" t="s">
        <v>182</v>
      </c>
      <c r="R14" s="123">
        <v>400</v>
      </c>
      <c r="S14" s="122" t="s">
        <v>183</v>
      </c>
      <c r="U14" t="s">
        <v>184</v>
      </c>
    </row>
    <row r="15" spans="2:23" ht="12.75">
      <c r="B15" s="59" t="s">
        <v>185</v>
      </c>
      <c r="C15" s="128">
        <v>166.3</v>
      </c>
      <c r="D15" s="26" t="s">
        <v>186</v>
      </c>
      <c r="E15" s="136">
        <f>1000*C15/(C10^2)</f>
        <v>536.8672520661156</v>
      </c>
      <c r="F15" s="129" t="s">
        <v>152</v>
      </c>
      <c r="H15" s="120" t="s">
        <v>187</v>
      </c>
      <c r="I15" s="144">
        <f>C16*I9/(C16+I9)</f>
        <v>0.11498410524139813</v>
      </c>
      <c r="J15" s="122" t="s">
        <v>158</v>
      </c>
      <c r="K15" s="26"/>
      <c r="L15" s="134"/>
      <c r="M15" s="26"/>
      <c r="N15" s="26"/>
      <c r="O15" s="129"/>
      <c r="Q15" s="134"/>
      <c r="R15" s="26"/>
      <c r="S15" s="129"/>
      <c r="U15" s="120" t="s">
        <v>188</v>
      </c>
      <c r="V15" s="145">
        <f>0.014*C18*C19/I6</f>
        <v>1.7351063829787234</v>
      </c>
      <c r="W15" s="122" t="s">
        <v>189</v>
      </c>
    </row>
    <row r="16" spans="2:23" ht="12.75">
      <c r="B16" s="59" t="s">
        <v>190</v>
      </c>
      <c r="C16" s="128">
        <v>0.46</v>
      </c>
      <c r="D16" s="26" t="s">
        <v>191</v>
      </c>
      <c r="E16" s="136">
        <f>C16*C10^2</f>
        <v>142.48960000000002</v>
      </c>
      <c r="F16" s="129" t="s">
        <v>147</v>
      </c>
      <c r="H16" s="59" t="s">
        <v>192</v>
      </c>
      <c r="I16" s="133">
        <f>I15*I6/I9</f>
        <v>35.25162402968323</v>
      </c>
      <c r="J16" s="129" t="s">
        <v>136</v>
      </c>
      <c r="K16" s="26"/>
      <c r="L16" s="59" t="s">
        <v>193</v>
      </c>
      <c r="M16" s="26"/>
      <c r="N16" s="146">
        <f>N13*SQRT(-(1-1/(2*N14^2))+SQRT(1+(1-1/(2*N14^2))^2))</f>
        <v>31.075479480600748</v>
      </c>
      <c r="O16" s="129" t="s">
        <v>5</v>
      </c>
      <c r="P16" t="s">
        <v>95</v>
      </c>
      <c r="Q16" s="61" t="s">
        <v>194</v>
      </c>
      <c r="R16" s="142">
        <f>170*343/R14</f>
        <v>145.775</v>
      </c>
      <c r="S16" s="139" t="s">
        <v>5</v>
      </c>
      <c r="U16" s="61" t="s">
        <v>188</v>
      </c>
      <c r="V16" s="142">
        <f>20*LOG(V15/100)</f>
        <v>-35.21347785118846</v>
      </c>
      <c r="W16" s="139" t="s">
        <v>11</v>
      </c>
    </row>
    <row r="17" spans="2:21" ht="12.75">
      <c r="B17" s="59" t="s">
        <v>195</v>
      </c>
      <c r="C17" s="128">
        <v>139.2</v>
      </c>
      <c r="D17" s="26" t="s">
        <v>136</v>
      </c>
      <c r="E17" s="147">
        <f>C17/(1.2*(343*C18*0.0001)^2)</f>
        <v>0.4540439735804831</v>
      </c>
      <c r="F17" s="129" t="s">
        <v>158</v>
      </c>
      <c r="H17" s="59" t="s">
        <v>196</v>
      </c>
      <c r="I17" s="133">
        <f>E9*SQRT(C16/I15)</f>
        <v>36.39612115195817</v>
      </c>
      <c r="J17" s="129" t="s">
        <v>5</v>
      </c>
      <c r="K17" s="26"/>
      <c r="L17" s="148" t="s">
        <v>197</v>
      </c>
      <c r="M17" s="24"/>
      <c r="N17" s="149">
        <v>88</v>
      </c>
      <c r="O17" s="139" t="s">
        <v>198</v>
      </c>
      <c r="U17" t="s">
        <v>199</v>
      </c>
    </row>
    <row r="18" spans="2:11" ht="12.75">
      <c r="B18" s="59" t="s">
        <v>200</v>
      </c>
      <c r="C18" s="128">
        <v>466</v>
      </c>
      <c r="D18" s="26" t="s">
        <v>201</v>
      </c>
      <c r="E18" s="26"/>
      <c r="F18" s="129"/>
      <c r="H18" s="59" t="s">
        <v>202</v>
      </c>
      <c r="I18" s="135">
        <f>N10/(2*PI()*I17*N9/1000)</f>
        <v>6.683108507592385</v>
      </c>
      <c r="J18" s="129"/>
      <c r="K18" s="26"/>
    </row>
    <row r="19" spans="2:21" ht="12.75">
      <c r="B19" s="61" t="s">
        <v>203</v>
      </c>
      <c r="C19" s="149">
        <v>12.5</v>
      </c>
      <c r="D19" s="24" t="s">
        <v>204</v>
      </c>
      <c r="E19" s="24"/>
      <c r="F19" s="139"/>
      <c r="H19" s="59" t="s">
        <v>205</v>
      </c>
      <c r="I19" s="135">
        <f>N6/(2*PI()*I17*N9/1000)</f>
        <v>0.4297045262428471</v>
      </c>
      <c r="J19" s="129"/>
      <c r="L19" t="s">
        <v>206</v>
      </c>
      <c r="U19" t="s">
        <v>207</v>
      </c>
    </row>
    <row r="20" spans="8:23" ht="12.75">
      <c r="H20" s="61" t="s">
        <v>208</v>
      </c>
      <c r="I20" s="150">
        <f>I18*I19/(I18+I19)</f>
        <v>0.403744898315719</v>
      </c>
      <c r="J20" s="139"/>
      <c r="L20" s="120" t="s">
        <v>76</v>
      </c>
      <c r="M20" s="22"/>
      <c r="N20" s="124">
        <f>N13</f>
        <v>20</v>
      </c>
      <c r="O20" s="122" t="s">
        <v>5</v>
      </c>
      <c r="U20" s="151" t="s">
        <v>209</v>
      </c>
      <c r="V20" s="152">
        <f>196.9-3+20*LOG(0.0001*C18*C19/I6)</f>
        <v>155.76396143524678</v>
      </c>
      <c r="W20" s="17" t="s">
        <v>11</v>
      </c>
    </row>
    <row r="21" spans="2:15" ht="12.75">
      <c r="B21" t="s">
        <v>210</v>
      </c>
      <c r="L21" s="61" t="s">
        <v>77</v>
      </c>
      <c r="M21" s="24"/>
      <c r="N21" s="153">
        <f>N14</f>
        <v>0.5</v>
      </c>
      <c r="O21" s="139"/>
    </row>
    <row r="22" spans="2:21" ht="12.75">
      <c r="B22" s="120" t="s">
        <v>211</v>
      </c>
      <c r="C22" s="127">
        <f>(E9/(2*E13))*(1-SQRT(1-(2*E13)^2))</f>
        <v>3.8620253435589604</v>
      </c>
      <c r="D22" s="122" t="s">
        <v>5</v>
      </c>
      <c r="H22" t="s">
        <v>212</v>
      </c>
      <c r="L22" s="154" t="s">
        <v>213</v>
      </c>
      <c r="M22" s="26"/>
      <c r="N22" s="130"/>
      <c r="O22" s="129"/>
      <c r="U22" t="s">
        <v>214</v>
      </c>
    </row>
    <row r="23" spans="2:23" ht="12.75">
      <c r="B23" s="61" t="s">
        <v>215</v>
      </c>
      <c r="C23" s="142">
        <f>(E9/(2*E13))*(1+SQRT(1-(2*E13)^2))</f>
        <v>85.73833846084324</v>
      </c>
      <c r="D23" s="139" t="s">
        <v>5</v>
      </c>
      <c r="H23" s="120" t="s">
        <v>211</v>
      </c>
      <c r="I23" s="127">
        <f>(I17/(2*I20))*(1-SQRT(1-(2*I20)^2))</f>
        <v>18.485337286546912</v>
      </c>
      <c r="J23" s="122" t="s">
        <v>5</v>
      </c>
      <c r="L23" s="59" t="s">
        <v>216</v>
      </c>
      <c r="M23" s="26"/>
      <c r="N23" s="146">
        <f>I23</f>
        <v>18.485337286546912</v>
      </c>
      <c r="O23" s="129" t="s">
        <v>5</v>
      </c>
      <c r="U23" s="120" t="s">
        <v>217</v>
      </c>
      <c r="V23" s="155">
        <v>99</v>
      </c>
      <c r="W23" s="122" t="s">
        <v>167</v>
      </c>
    </row>
    <row r="24" spans="3:23" ht="12.75">
      <c r="C24" s="156"/>
      <c r="H24" s="61" t="s">
        <v>215</v>
      </c>
      <c r="I24" s="142">
        <f>(I17/(2*I20))*(1+SQRT(1-(2*I20)^2))</f>
        <v>71.66099348763727</v>
      </c>
      <c r="J24" s="139" t="s">
        <v>5</v>
      </c>
      <c r="L24" s="61" t="s">
        <v>218</v>
      </c>
      <c r="M24" s="24"/>
      <c r="N24" s="142">
        <f>I24</f>
        <v>71.66099348763727</v>
      </c>
      <c r="O24" s="139" t="s">
        <v>5</v>
      </c>
      <c r="U24" s="134"/>
      <c r="V24" s="26"/>
      <c r="W24" s="129"/>
    </row>
    <row r="25" spans="2:23" ht="12.75">
      <c r="B25" t="s">
        <v>219</v>
      </c>
      <c r="C25" s="156"/>
      <c r="I25" s="156"/>
      <c r="L25" s="154" t="s">
        <v>220</v>
      </c>
      <c r="M25" s="26"/>
      <c r="N25" s="130"/>
      <c r="O25" s="129"/>
      <c r="U25" s="61" t="s">
        <v>209</v>
      </c>
      <c r="V25" s="142">
        <f>196.9-3+20*LOG(C18*C19*0.0000001)-20*LOG(V23)</f>
        <v>89.29321470201015</v>
      </c>
      <c r="W25" s="139" t="s">
        <v>11</v>
      </c>
    </row>
    <row r="26" spans="2:21" ht="12.75">
      <c r="B26" s="120" t="s">
        <v>221</v>
      </c>
      <c r="C26" s="127">
        <f>E9/(2*E13)</f>
        <v>44.800181902201096</v>
      </c>
      <c r="D26" s="122" t="s">
        <v>5</v>
      </c>
      <c r="H26" t="s">
        <v>222</v>
      </c>
      <c r="I26" s="156"/>
      <c r="L26" s="59" t="s">
        <v>74</v>
      </c>
      <c r="M26" s="26"/>
      <c r="N26" s="146" t="e">
        <f>SQRT(I27^2+I28^2)</f>
        <v>#NUM!</v>
      </c>
      <c r="O26" s="129" t="s">
        <v>5</v>
      </c>
      <c r="U26" t="s">
        <v>223</v>
      </c>
    </row>
    <row r="27" spans="2:15" ht="12.75">
      <c r="B27" s="157" t="s">
        <v>224</v>
      </c>
      <c r="C27" s="142" t="e">
        <f>C26*SQRT(-1+(2*E13)^2)</f>
        <v>#NUM!</v>
      </c>
      <c r="D27" s="139" t="s">
        <v>5</v>
      </c>
      <c r="H27" s="120" t="s">
        <v>221</v>
      </c>
      <c r="I27" s="127">
        <f>I17/(2*I20)</f>
        <v>45.0731653870921</v>
      </c>
      <c r="J27" s="122" t="s">
        <v>5</v>
      </c>
      <c r="L27" s="61" t="s">
        <v>75</v>
      </c>
      <c r="M27" s="24"/>
      <c r="N27" s="150" t="e">
        <f>N26/(2*I27)</f>
        <v>#NUM!</v>
      </c>
      <c r="O27" s="139"/>
    </row>
    <row r="28" spans="8:15" ht="12.75">
      <c r="H28" s="157" t="s">
        <v>224</v>
      </c>
      <c r="I28" s="142" t="e">
        <f>I27*SQRT(-1+(2*I20)^2)</f>
        <v>#NUM!</v>
      </c>
      <c r="J28" s="139" t="s">
        <v>5</v>
      </c>
      <c r="L28" s="151" t="s">
        <v>225</v>
      </c>
      <c r="M28" s="39"/>
      <c r="N28" s="158">
        <f>((I17/N13)-(I20/N14))/((I20/N14)-(N13/I17))</f>
        <v>3.924000121525813</v>
      </c>
      <c r="O28" s="159" t="s">
        <v>226</v>
      </c>
    </row>
    <row r="29" ht="12.75">
      <c r="E29" t="s">
        <v>95</v>
      </c>
    </row>
    <row r="30" ht="12.75">
      <c r="AB30" t="s">
        <v>227</v>
      </c>
    </row>
    <row r="31" spans="3:33" ht="12.75">
      <c r="C31" t="s">
        <v>228</v>
      </c>
      <c r="H31" t="s">
        <v>229</v>
      </c>
      <c r="L31" t="s">
        <v>230</v>
      </c>
      <c r="M31" s="132"/>
      <c r="N31" s="132" t="s">
        <v>231</v>
      </c>
      <c r="O31" s="26"/>
      <c r="P31" s="132">
        <f>C19</f>
        <v>12.5</v>
      </c>
      <c r="Q31" s="26" t="s">
        <v>183</v>
      </c>
      <c r="R31" s="26"/>
      <c r="S31" s="26"/>
      <c r="U31" t="s">
        <v>232</v>
      </c>
      <c r="Y31" t="s">
        <v>233</v>
      </c>
      <c r="AD31" s="62">
        <f>R10</f>
        <v>53.50573801004898</v>
      </c>
      <c r="AE31" t="s">
        <v>234</v>
      </c>
      <c r="AG31" t="s">
        <v>235</v>
      </c>
    </row>
    <row r="32" spans="3:33" ht="12.75">
      <c r="C32" s="160"/>
      <c r="D32" s="22"/>
      <c r="E32" s="122"/>
      <c r="H32" s="160"/>
      <c r="I32" s="22"/>
      <c r="J32" s="122"/>
      <c r="L32" s="48" t="s">
        <v>236</v>
      </c>
      <c r="M32" s="26"/>
      <c r="N32" s="120" t="s">
        <v>95</v>
      </c>
      <c r="O32" s="22"/>
      <c r="P32" s="22"/>
      <c r="Q32" s="161" t="s">
        <v>237</v>
      </c>
      <c r="R32" s="161"/>
      <c r="S32" s="122" t="s">
        <v>238</v>
      </c>
      <c r="U32" s="48" t="s">
        <v>238</v>
      </c>
      <c r="Y32" s="160" t="s">
        <v>238</v>
      </c>
      <c r="Z32" s="122"/>
      <c r="AB32" s="160"/>
      <c r="AC32" s="22"/>
      <c r="AD32" s="22"/>
      <c r="AE32" s="122" t="s">
        <v>238</v>
      </c>
      <c r="AF32" s="26"/>
      <c r="AG32" s="48" t="s">
        <v>238</v>
      </c>
    </row>
    <row r="33" spans="2:33" ht="12.75">
      <c r="B33" s="143" t="s">
        <v>239</v>
      </c>
      <c r="C33" s="162" t="s">
        <v>240</v>
      </c>
      <c r="D33" s="130" t="s">
        <v>241</v>
      </c>
      <c r="E33" s="163" t="s">
        <v>242</v>
      </c>
      <c r="H33" s="162" t="s">
        <v>240</v>
      </c>
      <c r="I33" s="130" t="s">
        <v>241</v>
      </c>
      <c r="J33" s="163" t="s">
        <v>242</v>
      </c>
      <c r="L33" s="51" t="s">
        <v>243</v>
      </c>
      <c r="M33" s="26"/>
      <c r="N33" s="162" t="s">
        <v>244</v>
      </c>
      <c r="O33" s="130" t="s">
        <v>245</v>
      </c>
      <c r="P33" s="130" t="s">
        <v>246</v>
      </c>
      <c r="Q33" s="130" t="s">
        <v>247</v>
      </c>
      <c r="R33" s="130" t="s">
        <v>248</v>
      </c>
      <c r="S33" s="129" t="s">
        <v>249</v>
      </c>
      <c r="T33" s="143" t="s">
        <v>250</v>
      </c>
      <c r="U33" s="51" t="s">
        <v>249</v>
      </c>
      <c r="V33" s="143" t="s">
        <v>101</v>
      </c>
      <c r="W33" s="143" t="s">
        <v>105</v>
      </c>
      <c r="X33" s="143" t="s">
        <v>251</v>
      </c>
      <c r="Y33" s="134" t="s">
        <v>249</v>
      </c>
      <c r="Z33" s="163" t="s">
        <v>245</v>
      </c>
      <c r="AB33" s="162" t="s">
        <v>244</v>
      </c>
      <c r="AC33" s="130" t="s">
        <v>245</v>
      </c>
      <c r="AD33" s="130" t="s">
        <v>246</v>
      </c>
      <c r="AE33" s="129" t="s">
        <v>249</v>
      </c>
      <c r="AF33" s="26"/>
      <c r="AG33" s="51" t="s">
        <v>249</v>
      </c>
    </row>
    <row r="34" spans="2:33" ht="12.75">
      <c r="B34" s="130" t="s">
        <v>5</v>
      </c>
      <c r="C34" s="164" t="s">
        <v>138</v>
      </c>
      <c r="D34" s="153" t="s">
        <v>252</v>
      </c>
      <c r="E34" s="165" t="s">
        <v>138</v>
      </c>
      <c r="H34" s="164" t="s">
        <v>138</v>
      </c>
      <c r="I34" s="153" t="s">
        <v>252</v>
      </c>
      <c r="J34" s="165" t="s">
        <v>138</v>
      </c>
      <c r="L34" s="166" t="s">
        <v>253</v>
      </c>
      <c r="M34" s="130"/>
      <c r="N34" s="164" t="s">
        <v>234</v>
      </c>
      <c r="O34" s="153" t="s">
        <v>154</v>
      </c>
      <c r="P34" s="153" t="s">
        <v>254</v>
      </c>
      <c r="Q34" s="153" t="s">
        <v>140</v>
      </c>
      <c r="R34" s="153" t="s">
        <v>140</v>
      </c>
      <c r="S34" s="165" t="s">
        <v>11</v>
      </c>
      <c r="T34" s="130" t="s">
        <v>5</v>
      </c>
      <c r="U34" s="166" t="s">
        <v>11</v>
      </c>
      <c r="V34" s="143" t="s">
        <v>11</v>
      </c>
      <c r="W34" s="143" t="s">
        <v>11</v>
      </c>
      <c r="X34" s="143" t="s">
        <v>11</v>
      </c>
      <c r="Y34" s="164" t="s">
        <v>11</v>
      </c>
      <c r="Z34" s="165" t="s">
        <v>154</v>
      </c>
      <c r="AB34" s="164" t="s">
        <v>234</v>
      </c>
      <c r="AC34" s="153" t="s">
        <v>154</v>
      </c>
      <c r="AD34" s="153" t="s">
        <v>254</v>
      </c>
      <c r="AE34" s="165" t="s">
        <v>11</v>
      </c>
      <c r="AF34" s="130"/>
      <c r="AG34" s="166" t="s">
        <v>11</v>
      </c>
    </row>
    <row r="35" spans="2:33" ht="12.75">
      <c r="B35" s="167">
        <v>10</v>
      </c>
      <c r="C35" s="168">
        <f aca="true" t="shared" si="0" ref="C35:C62">$C$7+$E$14/(1+($E$11*(B35/$C$9-$C$9/B35))^2)</f>
        <v>6.152553602958655</v>
      </c>
      <c r="D35" s="168">
        <f aca="true" t="shared" si="1" ref="D35:D62">(2*PI()*B35*$C$8/1000)-($E$14*$E$11*(B35/$C$9-$C$9/B35))/((1+($E$11*(B35/$C$9-$C$9/B35))^2))</f>
        <v>12.65112318912591</v>
      </c>
      <c r="E35" s="168">
        <f aca="true" t="shared" si="2" ref="E35:E62">SQRT(C35^2+D35^2)</f>
        <v>14.067865288796266</v>
      </c>
      <c r="H35" s="168">
        <f aca="true" t="shared" si="3" ref="H35:H62">$C$7+$N$10/(1+($I$18*(B35/$I$17-$I$17/B35))^2)</f>
        <v>3.607430668521374</v>
      </c>
      <c r="I35" s="168">
        <f aca="true" t="shared" si="4" ref="I35:I62">(2*PI()*B35*$C$8/1000)-($N$10*$I$18*(B35/$I$17-$I$17/B35))/((1+($I$18*(B35/$I$17-$I$17/B35))^2))</f>
        <v>2.6797633083827668</v>
      </c>
      <c r="J35" s="168">
        <f aca="true" t="shared" si="5" ref="J35:J62">SQRT(H35^2+I35^2)</f>
        <v>4.4938499548987085</v>
      </c>
      <c r="L35" s="169">
        <f aca="true" t="shared" si="6" ref="L35:L62">(1000/(2*PI()*B35*$C$10))/SQRT((1+$I$19/$I$18)^2+($I$19^2)*(B35/$I$17-$I$17/B35)^2)</f>
        <v>0.5036797050053426</v>
      </c>
      <c r="M35" s="169"/>
      <c r="N35" s="168">
        <f aca="true" t="shared" si="7" ref="N35:N62">$P$31/L35</f>
        <v>24.81735888061523</v>
      </c>
      <c r="O35" s="168">
        <f aca="true" t="shared" si="8" ref="O35:O62">N35/J35</f>
        <v>5.522516134202931</v>
      </c>
      <c r="P35" s="170">
        <f aca="true" t="shared" si="9" ref="P35:P62">N35*O35/2</f>
        <v>68.527132413251</v>
      </c>
      <c r="Q35" s="170">
        <f aca="true" t="shared" si="10" ref="Q35:Q62">4*O35^2</f>
        <v>121.99273781012674</v>
      </c>
      <c r="R35" s="170">
        <f aca="true" t="shared" si="11" ref="R35:R62">(N35^2)/16</f>
        <v>38.49383136307823</v>
      </c>
      <c r="S35" s="170">
        <f aca="true" t="shared" si="12" ref="S35:S62">-37.6+20*LOG($P$31*$C$18)+40*LOG(B35)</f>
        <v>77.70591859396112</v>
      </c>
      <c r="T35" s="171">
        <f aca="true" t="shared" si="13" ref="T35:T62">B35</f>
        <v>10</v>
      </c>
      <c r="U35" s="170">
        <f aca="true" t="shared" si="14" ref="U35:U62">-37.6+20*LOG(2.83*1.41*L35*$C$18)+40*LOG(B35)</f>
        <v>61.830918337110226</v>
      </c>
      <c r="V35" s="170">
        <f aca="true" t="shared" si="15" ref="V35:V62">$N$17+40*LOG(T35/$N$13)-10*LOG((((T35^2/$N$13^2)-1)^2)+(T35/($N$13*$N$14))^2)</f>
        <v>74.02059991327963</v>
      </c>
      <c r="W35" s="170">
        <f aca="true" t="shared" si="16" ref="W35:W62">V35-U35</f>
        <v>12.189681576169399</v>
      </c>
      <c r="X35" s="143">
        <f aca="true" t="shared" si="17" ref="X35:X62">$N$17</f>
        <v>88</v>
      </c>
      <c r="Y35" s="170">
        <f aca="true" t="shared" si="18" ref="Y35:Y62">U35+7.95</f>
        <v>69.78091833711022</v>
      </c>
      <c r="Z35" s="168">
        <f aca="true" t="shared" si="19" ref="Z35:Z62">10/J35</f>
        <v>2.225263437890062</v>
      </c>
      <c r="AB35" s="168">
        <f aca="true" t="shared" si="20" ref="AB35:AB62">IF(N35&lt;$AD$31,N35,$AD$31)</f>
        <v>24.81735888061523</v>
      </c>
      <c r="AC35" s="168">
        <f aca="true" t="shared" si="21" ref="AC35:AC62">IF(AB35/J35&lt;$R$8,AB35/J35,$R$8)</f>
        <v>5.522516134202931</v>
      </c>
      <c r="AD35" s="170">
        <f aca="true" t="shared" si="22" ref="AD35:AD62">AB35*AC35/2</f>
        <v>68.527132413251</v>
      </c>
      <c r="AE35" s="170">
        <f aca="true" t="shared" si="23" ref="AE35:AE62">S35+20*LOG(AC35/O35)</f>
        <v>77.70591859396112</v>
      </c>
      <c r="AG35" s="170">
        <f aca="true" t="shared" si="24" ref="AG35:AG62">AE35+20*LOG(T35/$R$16)</f>
        <v>54.432257592099475</v>
      </c>
    </row>
    <row r="36" spans="2:33" ht="12.75">
      <c r="B36" s="172">
        <f aca="true" t="shared" si="25" ref="B36:B62">B35*2^(1/7)</f>
        <v>11.040895136738122</v>
      </c>
      <c r="C36" s="168">
        <f t="shared" si="0"/>
        <v>7.375022460286594</v>
      </c>
      <c r="D36" s="168">
        <f t="shared" si="1"/>
        <v>15.104297914202675</v>
      </c>
      <c r="E36" s="168">
        <f t="shared" si="2"/>
        <v>16.80865169401517</v>
      </c>
      <c r="H36" s="168">
        <f t="shared" si="3"/>
        <v>3.635701504763818</v>
      </c>
      <c r="I36" s="168">
        <f t="shared" si="4"/>
        <v>3.0058548192536003</v>
      </c>
      <c r="J36" s="168">
        <f t="shared" si="5"/>
        <v>4.717360345168894</v>
      </c>
      <c r="L36" s="169">
        <f t="shared" si="6"/>
        <v>0.49061345825875996</v>
      </c>
      <c r="M36" s="169"/>
      <c r="N36" s="168">
        <f t="shared" si="7"/>
        <v>25.47830637252359</v>
      </c>
      <c r="O36" s="168">
        <f t="shared" si="8"/>
        <v>5.400966750105541</v>
      </c>
      <c r="P36" s="170">
        <f t="shared" si="9"/>
        <v>68.80374278350101</v>
      </c>
      <c r="Q36" s="170">
        <f t="shared" si="10"/>
        <v>116.68176734298243</v>
      </c>
      <c r="R36" s="170">
        <f t="shared" si="11"/>
        <v>40.57150597576101</v>
      </c>
      <c r="S36" s="170">
        <f t="shared" si="12"/>
        <v>79.4260899977553</v>
      </c>
      <c r="T36" s="171">
        <f t="shared" si="13"/>
        <v>11.040895136738122</v>
      </c>
      <c r="U36" s="170">
        <f t="shared" si="14"/>
        <v>63.3227898487681</v>
      </c>
      <c r="V36" s="170">
        <f t="shared" si="15"/>
        <v>75.36840274226304</v>
      </c>
      <c r="W36" s="170">
        <f t="shared" si="16"/>
        <v>12.04561289349494</v>
      </c>
      <c r="X36" s="143">
        <f t="shared" si="17"/>
        <v>88</v>
      </c>
      <c r="Y36" s="170">
        <f t="shared" si="18"/>
        <v>71.2727898487681</v>
      </c>
      <c r="Z36" s="168">
        <f t="shared" si="19"/>
        <v>2.119829580167884</v>
      </c>
      <c r="AB36" s="168">
        <f t="shared" si="20"/>
        <v>25.47830637252359</v>
      </c>
      <c r="AC36" s="168">
        <f t="shared" si="21"/>
        <v>5.400966750105541</v>
      </c>
      <c r="AD36" s="170">
        <f t="shared" si="22"/>
        <v>68.80374278350101</v>
      </c>
      <c r="AE36" s="170">
        <f t="shared" si="23"/>
        <v>79.4260899977553</v>
      </c>
      <c r="AG36" s="170">
        <f t="shared" si="24"/>
        <v>57.01251469779074</v>
      </c>
    </row>
    <row r="37" spans="2:33" ht="12.75">
      <c r="B37" s="172">
        <f t="shared" si="25"/>
        <v>12.190136542044751</v>
      </c>
      <c r="C37" s="168">
        <f t="shared" si="0"/>
        <v>9.503332329801696</v>
      </c>
      <c r="D37" s="168">
        <f t="shared" si="1"/>
        <v>18.409299333435833</v>
      </c>
      <c r="E37" s="168">
        <f t="shared" si="2"/>
        <v>20.71751981581519</v>
      </c>
      <c r="H37" s="168">
        <f t="shared" si="3"/>
        <v>3.6728991727945255</v>
      </c>
      <c r="I37" s="168">
        <f t="shared" si="4"/>
        <v>3.384668691218617</v>
      </c>
      <c r="J37" s="168">
        <f t="shared" si="5"/>
        <v>4.9946141475423556</v>
      </c>
      <c r="L37" s="169">
        <f t="shared" si="6"/>
        <v>0.4758623525141911</v>
      </c>
      <c r="M37" s="169"/>
      <c r="N37" s="168">
        <f t="shared" si="7"/>
        <v>26.268100289835864</v>
      </c>
      <c r="O37" s="168">
        <f t="shared" si="8"/>
        <v>5.259285204796314</v>
      </c>
      <c r="P37" s="170">
        <f t="shared" si="9"/>
        <v>69.07571560621977</v>
      </c>
      <c r="Q37" s="170">
        <f t="shared" si="10"/>
        <v>110.64032346155764</v>
      </c>
      <c r="R37" s="170">
        <f t="shared" si="11"/>
        <v>43.12581830230469</v>
      </c>
      <c r="S37" s="170">
        <f t="shared" si="12"/>
        <v>81.14626140154948</v>
      </c>
      <c r="T37" s="171">
        <f t="shared" si="13"/>
        <v>12.190136542044751</v>
      </c>
      <c r="U37" s="170">
        <f t="shared" si="14"/>
        <v>64.77779905062744</v>
      </c>
      <c r="V37" s="170">
        <f t="shared" si="15"/>
        <v>76.65523578413429</v>
      </c>
      <c r="W37" s="170">
        <f t="shared" si="16"/>
        <v>11.877436733506855</v>
      </c>
      <c r="X37" s="143">
        <f t="shared" si="17"/>
        <v>88</v>
      </c>
      <c r="Y37" s="170">
        <f t="shared" si="18"/>
        <v>72.72779905062744</v>
      </c>
      <c r="Z37" s="168">
        <f t="shared" si="19"/>
        <v>2.0021566640779627</v>
      </c>
      <c r="AB37" s="168">
        <f t="shared" si="20"/>
        <v>26.268100289835864</v>
      </c>
      <c r="AC37" s="168">
        <f t="shared" si="21"/>
        <v>5.259285204796314</v>
      </c>
      <c r="AD37" s="170">
        <f t="shared" si="22"/>
        <v>69.07571560621977</v>
      </c>
      <c r="AE37" s="170">
        <f t="shared" si="23"/>
        <v>81.14626140154948</v>
      </c>
      <c r="AG37" s="170">
        <f t="shared" si="24"/>
        <v>59.592771803482016</v>
      </c>
    </row>
    <row r="38" spans="2:33" ht="12.75">
      <c r="B38" s="172">
        <f t="shared" si="25"/>
        <v>13.459001926323557</v>
      </c>
      <c r="C38" s="168">
        <f t="shared" si="0"/>
        <v>13.608299141836218</v>
      </c>
      <c r="D38" s="168">
        <f t="shared" si="1"/>
        <v>22.924498709264927</v>
      </c>
      <c r="E38" s="168">
        <f t="shared" si="2"/>
        <v>26.6593031905335</v>
      </c>
      <c r="H38" s="168">
        <f t="shared" si="3"/>
        <v>3.722729402618509</v>
      </c>
      <c r="I38" s="168">
        <f t="shared" si="4"/>
        <v>3.830030375353087</v>
      </c>
      <c r="J38" s="168">
        <f t="shared" si="5"/>
        <v>5.3411465886312905</v>
      </c>
      <c r="L38" s="169">
        <f t="shared" si="6"/>
        <v>0.4594016002225831</v>
      </c>
      <c r="M38" s="169"/>
      <c r="N38" s="168">
        <f t="shared" si="7"/>
        <v>27.20930879201045</v>
      </c>
      <c r="O38" s="168">
        <f t="shared" si="8"/>
        <v>5.094282349397761</v>
      </c>
      <c r="P38" s="170">
        <f t="shared" si="9"/>
        <v>69.30595075922608</v>
      </c>
      <c r="Q38" s="170">
        <f t="shared" si="10"/>
        <v>103.8068506215423</v>
      </c>
      <c r="R38" s="170">
        <f t="shared" si="11"/>
        <v>46.27165530868607</v>
      </c>
      <c r="S38" s="170">
        <f t="shared" si="12"/>
        <v>82.86643280534366</v>
      </c>
      <c r="T38" s="171">
        <f t="shared" si="13"/>
        <v>13.459001926323557</v>
      </c>
      <c r="U38" s="170">
        <f t="shared" si="14"/>
        <v>66.19219358135997</v>
      </c>
      <c r="V38" s="170">
        <f t="shared" si="15"/>
        <v>77.8748280919235</v>
      </c>
      <c r="W38" s="170">
        <f t="shared" si="16"/>
        <v>11.682634510563531</v>
      </c>
      <c r="X38" s="143">
        <f t="shared" si="17"/>
        <v>88</v>
      </c>
      <c r="Y38" s="170">
        <f t="shared" si="18"/>
        <v>74.14219358135998</v>
      </c>
      <c r="Z38" s="168">
        <f t="shared" si="19"/>
        <v>1.8722571706391935</v>
      </c>
      <c r="AB38" s="168">
        <f t="shared" si="20"/>
        <v>27.20930879201045</v>
      </c>
      <c r="AC38" s="168">
        <f t="shared" si="21"/>
        <v>5.094282349397761</v>
      </c>
      <c r="AD38" s="170">
        <f t="shared" si="22"/>
        <v>69.30595075922608</v>
      </c>
      <c r="AE38" s="170">
        <f t="shared" si="23"/>
        <v>82.86643280534366</v>
      </c>
      <c r="AG38" s="170">
        <f t="shared" si="24"/>
        <v>62.17302890917328</v>
      </c>
    </row>
    <row r="39" spans="2:33" ht="12.75">
      <c r="B39" s="172">
        <f t="shared" si="25"/>
        <v>14.859942891369478</v>
      </c>
      <c r="C39" s="168">
        <f t="shared" si="0"/>
        <v>22.560467575548223</v>
      </c>
      <c r="D39" s="168">
        <f t="shared" si="1"/>
        <v>28.496536911095966</v>
      </c>
      <c r="E39" s="168">
        <f t="shared" si="2"/>
        <v>36.34593943142504</v>
      </c>
      <c r="H39" s="168">
        <f t="shared" si="3"/>
        <v>3.791010276259967</v>
      </c>
      <c r="I39" s="168">
        <f t="shared" si="4"/>
        <v>4.36157774875575</v>
      </c>
      <c r="J39" s="168">
        <f t="shared" si="5"/>
        <v>5.778851042651121</v>
      </c>
      <c r="L39" s="169">
        <f t="shared" si="6"/>
        <v>0.44126198075907164</v>
      </c>
      <c r="M39" s="169"/>
      <c r="N39" s="168">
        <f t="shared" si="7"/>
        <v>28.327842744342348</v>
      </c>
      <c r="O39" s="168">
        <f t="shared" si="8"/>
        <v>4.901985279645933</v>
      </c>
      <c r="P39" s="170">
        <f t="shared" si="9"/>
        <v>69.43133406844552</v>
      </c>
      <c r="Q39" s="170">
        <f t="shared" si="10"/>
        <v>96.11783872746166</v>
      </c>
      <c r="R39" s="170">
        <f t="shared" si="11"/>
        <v>50.15416715926184</v>
      </c>
      <c r="S39" s="170">
        <f t="shared" si="12"/>
        <v>84.58660420913783</v>
      </c>
      <c r="T39" s="171">
        <f t="shared" si="13"/>
        <v>14.859942891369478</v>
      </c>
      <c r="U39" s="170">
        <f t="shared" si="14"/>
        <v>67.56244511536212</v>
      </c>
      <c r="V39" s="170">
        <f t="shared" si="15"/>
        <v>79.0214009686402</v>
      </c>
      <c r="W39" s="170">
        <f t="shared" si="16"/>
        <v>11.45895585327807</v>
      </c>
      <c r="X39" s="143">
        <f t="shared" si="17"/>
        <v>88</v>
      </c>
      <c r="Y39" s="170">
        <f t="shared" si="18"/>
        <v>75.51244511536213</v>
      </c>
      <c r="Z39" s="168">
        <f t="shared" si="19"/>
        <v>1.7304477873187007</v>
      </c>
      <c r="AB39" s="168">
        <f t="shared" si="20"/>
        <v>28.327842744342348</v>
      </c>
      <c r="AC39" s="168">
        <f t="shared" si="21"/>
        <v>4.901985279645933</v>
      </c>
      <c r="AD39" s="170">
        <f t="shared" si="22"/>
        <v>69.43133406844552</v>
      </c>
      <c r="AE39" s="170">
        <f t="shared" si="23"/>
        <v>84.58660420913783</v>
      </c>
      <c r="AG39" s="170">
        <f t="shared" si="24"/>
        <v>64.75328601486454</v>
      </c>
    </row>
    <row r="40" spans="2:33" ht="12.75">
      <c r="B40" s="172">
        <f t="shared" si="25"/>
        <v>16.40670712015275</v>
      </c>
      <c r="C40" s="168">
        <f t="shared" si="0"/>
        <v>42.94176284794252</v>
      </c>
      <c r="D40" s="168">
        <f t="shared" si="1"/>
        <v>29.252643502376372</v>
      </c>
      <c r="E40" s="168">
        <f t="shared" si="2"/>
        <v>51.95875429959863</v>
      </c>
      <c r="H40" s="168">
        <f t="shared" si="3"/>
        <v>3.887308538313368</v>
      </c>
      <c r="I40" s="168">
        <f t="shared" si="4"/>
        <v>5.008228341137275</v>
      </c>
      <c r="J40" s="168">
        <f t="shared" si="5"/>
        <v>6.339835864516891</v>
      </c>
      <c r="L40" s="169">
        <f t="shared" si="6"/>
        <v>0.4215363760958707</v>
      </c>
      <c r="M40" s="169"/>
      <c r="N40" s="168">
        <f t="shared" si="7"/>
        <v>29.653431373517112</v>
      </c>
      <c r="O40" s="168">
        <f t="shared" si="8"/>
        <v>4.677318468051029</v>
      </c>
      <c r="P40" s="170">
        <f t="shared" si="9"/>
        <v>69.34927110221768</v>
      </c>
      <c r="Q40" s="170">
        <f t="shared" si="10"/>
        <v>87.50923220628489</v>
      </c>
      <c r="R40" s="170">
        <f t="shared" si="11"/>
        <v>54.95787451399306</v>
      </c>
      <c r="S40" s="170">
        <f t="shared" si="12"/>
        <v>86.306775612932</v>
      </c>
      <c r="T40" s="171">
        <f t="shared" si="13"/>
        <v>16.40670712015275</v>
      </c>
      <c r="U40" s="170">
        <f t="shared" si="14"/>
        <v>68.8853874688206</v>
      </c>
      <c r="V40" s="170">
        <f t="shared" si="15"/>
        <v>80.0899974672194</v>
      </c>
      <c r="W40" s="170">
        <f t="shared" si="16"/>
        <v>11.204609998398809</v>
      </c>
      <c r="X40" s="143">
        <f t="shared" si="17"/>
        <v>88</v>
      </c>
      <c r="Y40" s="170">
        <f t="shared" si="18"/>
        <v>76.8353874688206</v>
      </c>
      <c r="Z40" s="168">
        <f t="shared" si="19"/>
        <v>1.577327901494816</v>
      </c>
      <c r="AB40" s="168">
        <f t="shared" si="20"/>
        <v>29.653431373517112</v>
      </c>
      <c r="AC40" s="168">
        <f t="shared" si="21"/>
        <v>4.677318468051029</v>
      </c>
      <c r="AD40" s="170">
        <f t="shared" si="22"/>
        <v>69.34927110221768</v>
      </c>
      <c r="AE40" s="170">
        <f t="shared" si="23"/>
        <v>86.306775612932</v>
      </c>
      <c r="AG40" s="170">
        <f t="shared" si="24"/>
        <v>67.3335431205558</v>
      </c>
    </row>
    <row r="41" spans="2:33" ht="12.75">
      <c r="B41" s="172">
        <f t="shared" si="25"/>
        <v>18.11447328527812</v>
      </c>
      <c r="C41" s="168">
        <f t="shared" si="0"/>
        <v>63.99786781646982</v>
      </c>
      <c r="D41" s="168">
        <f t="shared" si="1"/>
        <v>0.1188743492788511</v>
      </c>
      <c r="E41" s="168">
        <f t="shared" si="2"/>
        <v>63.997978219356746</v>
      </c>
      <c r="H41" s="168">
        <f t="shared" si="3"/>
        <v>4.028267001564522</v>
      </c>
      <c r="I41" s="168">
        <f t="shared" si="4"/>
        <v>5.81441819945293</v>
      </c>
      <c r="J41" s="168">
        <f t="shared" si="5"/>
        <v>7.073499419242436</v>
      </c>
      <c r="L41" s="169">
        <f t="shared" si="6"/>
        <v>0.40038124595009517</v>
      </c>
      <c r="M41" s="169"/>
      <c r="N41" s="168">
        <f t="shared" si="7"/>
        <v>31.220243521491117</v>
      </c>
      <c r="O41" s="168">
        <f t="shared" si="8"/>
        <v>4.413691395317138</v>
      </c>
      <c r="P41" s="170">
        <f t="shared" si="9"/>
        <v>68.89826009525548</v>
      </c>
      <c r="Q41" s="170">
        <f t="shared" si="10"/>
        <v>77.92268693238618</v>
      </c>
      <c r="R41" s="170">
        <f t="shared" si="11"/>
        <v>60.9189753463255</v>
      </c>
      <c r="S41" s="170">
        <f t="shared" si="12"/>
        <v>88.02694701672618</v>
      </c>
      <c r="T41" s="171">
        <f t="shared" si="13"/>
        <v>18.11447328527812</v>
      </c>
      <c r="U41" s="170">
        <f t="shared" si="14"/>
        <v>70.15833225458894</v>
      </c>
      <c r="V41" s="170">
        <f t="shared" si="15"/>
        <v>81.07680050851516</v>
      </c>
      <c r="W41" s="170">
        <f t="shared" si="16"/>
        <v>10.918468253926221</v>
      </c>
      <c r="X41" s="143">
        <f t="shared" si="17"/>
        <v>88</v>
      </c>
      <c r="Y41" s="170">
        <f t="shared" si="18"/>
        <v>78.10833225458894</v>
      </c>
      <c r="Z41" s="168">
        <f t="shared" si="19"/>
        <v>1.413727408077032</v>
      </c>
      <c r="AB41" s="168">
        <f t="shared" si="20"/>
        <v>31.220243521491117</v>
      </c>
      <c r="AC41" s="168">
        <f t="shared" si="21"/>
        <v>4.413691395317138</v>
      </c>
      <c r="AD41" s="170">
        <f t="shared" si="22"/>
        <v>68.89826009525548</v>
      </c>
      <c r="AE41" s="170">
        <f t="shared" si="23"/>
        <v>88.02694701672618</v>
      </c>
      <c r="AG41" s="170">
        <f t="shared" si="24"/>
        <v>69.91380022624708</v>
      </c>
    </row>
    <row r="42" spans="2:33" ht="12.75">
      <c r="B42" s="172">
        <f t="shared" si="25"/>
        <v>19.999999999999982</v>
      </c>
      <c r="C42" s="168">
        <f t="shared" si="0"/>
        <v>42.494872796502236</v>
      </c>
      <c r="D42" s="168">
        <f t="shared" si="1"/>
        <v>-28.430625715538753</v>
      </c>
      <c r="E42" s="168">
        <f t="shared" si="2"/>
        <v>51.128413749772825</v>
      </c>
      <c r="H42" s="168">
        <f t="shared" si="3"/>
        <v>4.244945815083617</v>
      </c>
      <c r="I42" s="168">
        <f t="shared" si="4"/>
        <v>6.852029172138147</v>
      </c>
      <c r="J42" s="168">
        <f t="shared" si="5"/>
        <v>8.06038887081933</v>
      </c>
      <c r="L42" s="169">
        <f t="shared" si="6"/>
        <v>0.37801213552395285</v>
      </c>
      <c r="M42" s="169"/>
      <c r="N42" s="168">
        <f t="shared" si="7"/>
        <v>33.06772144411203</v>
      </c>
      <c r="O42" s="168">
        <f t="shared" si="8"/>
        <v>4.102497035078003</v>
      </c>
      <c r="P42" s="170">
        <f t="shared" si="9"/>
        <v>67.83011459062746</v>
      </c>
      <c r="Q42" s="170">
        <f t="shared" si="10"/>
        <v>67.32192769129523</v>
      </c>
      <c r="R42" s="170">
        <f t="shared" si="11"/>
        <v>68.34213759408667</v>
      </c>
      <c r="S42" s="170">
        <f t="shared" si="12"/>
        <v>89.74711842052037</v>
      </c>
      <c r="T42" s="171">
        <f t="shared" si="13"/>
        <v>19.999999999999982</v>
      </c>
      <c r="U42" s="170">
        <f t="shared" si="14"/>
        <v>71.37914397289227</v>
      </c>
      <c r="V42" s="170">
        <f t="shared" si="15"/>
        <v>81.97940008672037</v>
      </c>
      <c r="W42" s="170">
        <f t="shared" si="16"/>
        <v>10.60025611382811</v>
      </c>
      <c r="X42" s="143">
        <f t="shared" si="17"/>
        <v>88</v>
      </c>
      <c r="Y42" s="170">
        <f t="shared" si="18"/>
        <v>79.32914397289227</v>
      </c>
      <c r="Z42" s="168">
        <f t="shared" si="19"/>
        <v>1.2406349321684167</v>
      </c>
      <c r="AB42" s="168">
        <f t="shared" si="20"/>
        <v>33.06772144411203</v>
      </c>
      <c r="AC42" s="168">
        <f t="shared" si="21"/>
        <v>4.102497035078003</v>
      </c>
      <c r="AD42" s="170">
        <f t="shared" si="22"/>
        <v>67.83011459062746</v>
      </c>
      <c r="AE42" s="170">
        <f t="shared" si="23"/>
        <v>89.74711842052037</v>
      </c>
      <c r="AG42" s="170">
        <f t="shared" si="24"/>
        <v>72.49405733193834</v>
      </c>
    </row>
    <row r="43" spans="2:33" ht="12.75">
      <c r="B43" s="172">
        <f t="shared" si="25"/>
        <v>22.081790273476226</v>
      </c>
      <c r="C43" s="168">
        <f t="shared" si="0"/>
        <v>22.34759587529965</v>
      </c>
      <c r="D43" s="168">
        <f t="shared" si="1"/>
        <v>-27.43597761171943</v>
      </c>
      <c r="E43" s="168">
        <f t="shared" si="2"/>
        <v>35.38570204074634</v>
      </c>
      <c r="H43" s="168">
        <f t="shared" si="3"/>
        <v>4.600779296608533</v>
      </c>
      <c r="I43" s="168">
        <f t="shared" si="4"/>
        <v>8.244903608223847</v>
      </c>
      <c r="J43" s="168">
        <f t="shared" si="5"/>
        <v>9.441695062064031</v>
      </c>
      <c r="L43" s="169">
        <f t="shared" si="6"/>
        <v>0.3546933505497677</v>
      </c>
      <c r="M43" s="169"/>
      <c r="N43" s="168">
        <f t="shared" si="7"/>
        <v>35.24170943894281</v>
      </c>
      <c r="O43" s="168">
        <f t="shared" si="8"/>
        <v>3.7325617071177355</v>
      </c>
      <c r="P43" s="170">
        <f t="shared" si="9"/>
        <v>65.7709275725838</v>
      </c>
      <c r="Q43" s="170">
        <f t="shared" si="10"/>
        <v>55.72806758976665</v>
      </c>
      <c r="R43" s="170">
        <f t="shared" si="11"/>
        <v>77.62363026117943</v>
      </c>
      <c r="S43" s="170">
        <f t="shared" si="12"/>
        <v>91.46728982431453</v>
      </c>
      <c r="T43" s="171">
        <f t="shared" si="13"/>
        <v>22.081790273476226</v>
      </c>
      <c r="U43" s="170">
        <f t="shared" si="14"/>
        <v>72.54626146399636</v>
      </c>
      <c r="V43" s="170">
        <f t="shared" si="15"/>
        <v>82.79697191230936</v>
      </c>
      <c r="W43" s="170">
        <f t="shared" si="16"/>
        <v>10.250710448313</v>
      </c>
      <c r="X43" s="143">
        <f t="shared" si="17"/>
        <v>88</v>
      </c>
      <c r="Y43" s="170">
        <f t="shared" si="18"/>
        <v>80.49626146399636</v>
      </c>
      <c r="Z43" s="168">
        <f t="shared" si="19"/>
        <v>1.05913185442508</v>
      </c>
      <c r="AB43" s="168">
        <f t="shared" si="20"/>
        <v>35.24170943894281</v>
      </c>
      <c r="AC43" s="168">
        <f t="shared" si="21"/>
        <v>3.7325617071177355</v>
      </c>
      <c r="AD43" s="170">
        <f t="shared" si="22"/>
        <v>65.7709275725838</v>
      </c>
      <c r="AE43" s="170">
        <f t="shared" si="23"/>
        <v>91.46728982431453</v>
      </c>
      <c r="AG43" s="170">
        <f t="shared" si="24"/>
        <v>75.0743144376296</v>
      </c>
    </row>
    <row r="44" spans="2:33" ht="12.75">
      <c r="B44" s="172">
        <f t="shared" si="25"/>
        <v>24.380273084089485</v>
      </c>
      <c r="C44" s="168">
        <f t="shared" si="0"/>
        <v>13.515375936407652</v>
      </c>
      <c r="D44" s="168">
        <f t="shared" si="1"/>
        <v>-21.842670738103035</v>
      </c>
      <c r="E44" s="168">
        <f t="shared" si="2"/>
        <v>25.685942686138844</v>
      </c>
      <c r="H44" s="168">
        <f t="shared" si="3"/>
        <v>5.241824182581683</v>
      </c>
      <c r="I44" s="168">
        <f t="shared" si="4"/>
        <v>10.223667241163337</v>
      </c>
      <c r="J44" s="168">
        <f t="shared" si="5"/>
        <v>11.489129323805807</v>
      </c>
      <c r="L44" s="169">
        <f t="shared" si="6"/>
        <v>0.3307230626046103</v>
      </c>
      <c r="M44" s="169"/>
      <c r="N44" s="168">
        <f t="shared" si="7"/>
        <v>37.79597316726635</v>
      </c>
      <c r="O44" s="168">
        <f t="shared" si="8"/>
        <v>3.289716052630028</v>
      </c>
      <c r="P44" s="170">
        <f t="shared" si="9"/>
        <v>62.16900982656495</v>
      </c>
      <c r="Q44" s="170">
        <f t="shared" si="10"/>
        <v>43.288926827726776</v>
      </c>
      <c r="R44" s="170">
        <f t="shared" si="11"/>
        <v>89.28347422879486</v>
      </c>
      <c r="S44" s="170">
        <f t="shared" si="12"/>
        <v>93.1874612281087</v>
      </c>
      <c r="T44" s="171">
        <f t="shared" si="13"/>
        <v>24.380273084089485</v>
      </c>
      <c r="U44" s="170">
        <f t="shared" si="14"/>
        <v>73.65866155177974</v>
      </c>
      <c r="V44" s="170">
        <f t="shared" si="15"/>
        <v>83.53034027480776</v>
      </c>
      <c r="W44" s="170">
        <f t="shared" si="16"/>
        <v>9.871678723028012</v>
      </c>
      <c r="X44" s="143">
        <f t="shared" si="17"/>
        <v>88</v>
      </c>
      <c r="Y44" s="170">
        <f t="shared" si="18"/>
        <v>81.60866155177975</v>
      </c>
      <c r="Z44" s="168">
        <f t="shared" si="19"/>
        <v>0.8703879744202819</v>
      </c>
      <c r="AB44" s="168">
        <f t="shared" si="20"/>
        <v>37.79597316726635</v>
      </c>
      <c r="AC44" s="168">
        <f t="shared" si="21"/>
        <v>3.289716052630028</v>
      </c>
      <c r="AD44" s="170">
        <f t="shared" si="22"/>
        <v>62.16900982656495</v>
      </c>
      <c r="AE44" s="170">
        <f t="shared" si="23"/>
        <v>93.1874612281087</v>
      </c>
      <c r="AG44" s="170">
        <f t="shared" si="24"/>
        <v>77.65457154332086</v>
      </c>
    </row>
    <row r="45" spans="2:33" ht="12.75">
      <c r="B45" s="172">
        <f t="shared" si="25"/>
        <v>26.918003852647093</v>
      </c>
      <c r="C45" s="168">
        <f t="shared" si="0"/>
        <v>9.457578021232747</v>
      </c>
      <c r="D45" s="168">
        <f t="shared" si="1"/>
        <v>-17.315763184049054</v>
      </c>
      <c r="E45" s="168">
        <f t="shared" si="2"/>
        <v>19.73021633621318</v>
      </c>
      <c r="H45" s="168">
        <f t="shared" si="3"/>
        <v>6.565472210206109</v>
      </c>
      <c r="I45" s="168">
        <f t="shared" si="4"/>
        <v>13.259104129251874</v>
      </c>
      <c r="J45" s="168">
        <f t="shared" si="5"/>
        <v>14.795582707461467</v>
      </c>
      <c r="L45" s="169">
        <f t="shared" si="6"/>
        <v>0.3064159791660064</v>
      </c>
      <c r="M45" s="169"/>
      <c r="N45" s="168">
        <f t="shared" si="7"/>
        <v>40.79421717503806</v>
      </c>
      <c r="O45" s="168">
        <f t="shared" si="8"/>
        <v>2.757188951704172</v>
      </c>
      <c r="P45" s="170">
        <f t="shared" si="9"/>
        <v>56.23868244421776</v>
      </c>
      <c r="Q45" s="170">
        <f t="shared" si="10"/>
        <v>30.408363661598205</v>
      </c>
      <c r="R45" s="170">
        <f t="shared" si="11"/>
        <v>104.01050968276063</v>
      </c>
      <c r="S45" s="170">
        <f t="shared" si="12"/>
        <v>94.90763263190289</v>
      </c>
      <c r="T45" s="171">
        <f t="shared" si="13"/>
        <v>26.918003852647093</v>
      </c>
      <c r="U45" s="170">
        <f t="shared" si="14"/>
        <v>74.71577152338931</v>
      </c>
      <c r="V45" s="170">
        <f t="shared" si="15"/>
        <v>84.18191518002274</v>
      </c>
      <c r="W45" s="170">
        <f t="shared" si="16"/>
        <v>9.466143656633434</v>
      </c>
      <c r="X45" s="143">
        <f t="shared" si="17"/>
        <v>88</v>
      </c>
      <c r="Y45" s="170">
        <f t="shared" si="18"/>
        <v>82.66577152338931</v>
      </c>
      <c r="Z45" s="168">
        <f t="shared" si="19"/>
        <v>0.6758774019057028</v>
      </c>
      <c r="AB45" s="168">
        <f t="shared" si="20"/>
        <v>40.79421717503806</v>
      </c>
      <c r="AC45" s="168">
        <f t="shared" si="21"/>
        <v>2.757188951704172</v>
      </c>
      <c r="AD45" s="170">
        <f t="shared" si="22"/>
        <v>56.23868244421776</v>
      </c>
      <c r="AE45" s="170">
        <f t="shared" si="23"/>
        <v>94.90763263190289</v>
      </c>
      <c r="AG45" s="170">
        <f t="shared" si="24"/>
        <v>80.23482864901213</v>
      </c>
    </row>
    <row r="46" spans="2:33" ht="12.75">
      <c r="B46" s="172">
        <f t="shared" si="25"/>
        <v>29.719885782738935</v>
      </c>
      <c r="C46" s="168">
        <f t="shared" si="0"/>
        <v>7.349795170717952</v>
      </c>
      <c r="D46" s="168">
        <f t="shared" si="1"/>
        <v>-13.98363827011445</v>
      </c>
      <c r="E46" s="168">
        <f t="shared" si="2"/>
        <v>15.797519688891619</v>
      </c>
      <c r="H46" s="168">
        <f t="shared" si="3"/>
        <v>9.951504547741198</v>
      </c>
      <c r="I46" s="168">
        <f t="shared" si="4"/>
        <v>18.378732928601426</v>
      </c>
      <c r="J46" s="168">
        <f t="shared" si="5"/>
        <v>20.900006383361994</v>
      </c>
      <c r="L46" s="169">
        <f t="shared" si="6"/>
        <v>0.28208605553280597</v>
      </c>
      <c r="M46" s="169"/>
      <c r="N46" s="168">
        <f t="shared" si="7"/>
        <v>44.31271860067638</v>
      </c>
      <c r="O46" s="168">
        <f t="shared" si="8"/>
        <v>2.1202251227996127</v>
      </c>
      <c r="P46" s="170">
        <f t="shared" si="9"/>
        <v>46.97646961835188</v>
      </c>
      <c r="Q46" s="170">
        <f t="shared" si="10"/>
        <v>17.98141828540253</v>
      </c>
      <c r="R46" s="170">
        <f t="shared" si="11"/>
        <v>122.72606436142063</v>
      </c>
      <c r="S46" s="170">
        <f t="shared" si="12"/>
        <v>96.62780403569707</v>
      </c>
      <c r="T46" s="171">
        <f t="shared" si="13"/>
        <v>29.719885782738935</v>
      </c>
      <c r="U46" s="170">
        <f t="shared" si="14"/>
        <v>75.71734709996532</v>
      </c>
      <c r="V46" s="170">
        <f t="shared" si="15"/>
        <v>84.75551370710022</v>
      </c>
      <c r="W46" s="170">
        <f t="shared" si="16"/>
        <v>9.038166607134897</v>
      </c>
      <c r="X46" s="143">
        <f t="shared" si="17"/>
        <v>88</v>
      </c>
      <c r="Y46" s="170">
        <f t="shared" si="18"/>
        <v>83.66734709996533</v>
      </c>
      <c r="Z46" s="168">
        <f t="shared" si="19"/>
        <v>0.47846875338568157</v>
      </c>
      <c r="AB46" s="168">
        <f t="shared" si="20"/>
        <v>44.31271860067638</v>
      </c>
      <c r="AC46" s="168">
        <f t="shared" si="21"/>
        <v>2.1202251227996127</v>
      </c>
      <c r="AD46" s="170">
        <f t="shared" si="22"/>
        <v>46.97646961835188</v>
      </c>
      <c r="AE46" s="170">
        <f t="shared" si="23"/>
        <v>96.62780403569707</v>
      </c>
      <c r="AG46" s="170">
        <f t="shared" si="24"/>
        <v>82.8150857547034</v>
      </c>
    </row>
    <row r="47" spans="2:33" ht="12.75">
      <c r="B47" s="172">
        <f t="shared" si="25"/>
        <v>32.81341424030548</v>
      </c>
      <c r="C47" s="168">
        <f t="shared" si="0"/>
        <v>6.137377180523687</v>
      </c>
      <c r="D47" s="168">
        <f t="shared" si="1"/>
        <v>-11.487436735626142</v>
      </c>
      <c r="E47" s="168">
        <f t="shared" si="2"/>
        <v>13.024154537282866</v>
      </c>
      <c r="H47" s="168">
        <f t="shared" si="3"/>
        <v>22.108279401789748</v>
      </c>
      <c r="I47" s="168">
        <f t="shared" si="4"/>
        <v>26.685877150256996</v>
      </c>
      <c r="J47" s="168">
        <f t="shared" si="5"/>
        <v>34.65417806536766</v>
      </c>
      <c r="L47" s="169">
        <f t="shared" si="6"/>
        <v>0.25803145727243226</v>
      </c>
      <c r="M47" s="169"/>
      <c r="N47" s="168">
        <f t="shared" si="7"/>
        <v>48.443705787400845</v>
      </c>
      <c r="O47" s="168">
        <f t="shared" si="8"/>
        <v>1.3979181874122713</v>
      </c>
      <c r="P47" s="170">
        <f t="shared" si="9"/>
        <v>33.86016869292837</v>
      </c>
      <c r="Q47" s="170">
        <f t="shared" si="10"/>
        <v>7.81670103479204</v>
      </c>
      <c r="R47" s="170">
        <f t="shared" si="11"/>
        <v>146.6745394010159</v>
      </c>
      <c r="S47" s="170">
        <f t="shared" si="12"/>
        <v>98.34797543949125</v>
      </c>
      <c r="T47" s="171">
        <f t="shared" si="13"/>
        <v>32.81341424030548</v>
      </c>
      <c r="U47" s="170">
        <f t="shared" si="14"/>
        <v>76.66333924567896</v>
      </c>
      <c r="V47" s="170">
        <f t="shared" si="15"/>
        <v>85.25609280310519</v>
      </c>
      <c r="W47" s="170">
        <f t="shared" si="16"/>
        <v>8.592753557426235</v>
      </c>
      <c r="X47" s="143">
        <f t="shared" si="17"/>
        <v>88</v>
      </c>
      <c r="Y47" s="170">
        <f t="shared" si="18"/>
        <v>84.61333924567896</v>
      </c>
      <c r="Z47" s="168">
        <f t="shared" si="19"/>
        <v>0.2885654936365003</v>
      </c>
      <c r="AB47" s="168">
        <f t="shared" si="20"/>
        <v>48.443705787400845</v>
      </c>
      <c r="AC47" s="168">
        <f t="shared" si="21"/>
        <v>1.3979181874122713</v>
      </c>
      <c r="AD47" s="170">
        <f t="shared" si="22"/>
        <v>33.86016869292837</v>
      </c>
      <c r="AE47" s="170">
        <f t="shared" si="23"/>
        <v>98.34797543949125</v>
      </c>
      <c r="AG47" s="170">
        <f t="shared" si="24"/>
        <v>85.39534286039466</v>
      </c>
    </row>
    <row r="48" spans="2:33" ht="12.75">
      <c r="B48" s="172">
        <f t="shared" si="25"/>
        <v>36.22894657055622</v>
      </c>
      <c r="C48" s="168">
        <f t="shared" si="0"/>
        <v>5.384006893812124</v>
      </c>
      <c r="D48" s="168">
        <f t="shared" si="1"/>
        <v>-9.55264820854683</v>
      </c>
      <c r="E48" s="168">
        <f t="shared" si="2"/>
        <v>10.965428310324656</v>
      </c>
      <c r="H48" s="168">
        <f t="shared" si="3"/>
        <v>57.7294545596499</v>
      </c>
      <c r="I48" s="168">
        <f t="shared" si="4"/>
        <v>4.293086489433665</v>
      </c>
      <c r="J48" s="168">
        <f t="shared" si="5"/>
        <v>57.88886348306072</v>
      </c>
      <c r="L48" s="169">
        <f t="shared" si="6"/>
        <v>0.23452323491150778</v>
      </c>
      <c r="M48" s="169"/>
      <c r="N48" s="168">
        <f t="shared" si="7"/>
        <v>53.29962297644667</v>
      </c>
      <c r="O48" s="168">
        <f t="shared" si="8"/>
        <v>0.9207232577997159</v>
      </c>
      <c r="P48" s="170">
        <f t="shared" si="9"/>
        <v>24.537101253185284</v>
      </c>
      <c r="Q48" s="170">
        <f t="shared" si="10"/>
        <v>3.3909252698132883</v>
      </c>
      <c r="R48" s="170">
        <f t="shared" si="11"/>
        <v>177.5531130894601</v>
      </c>
      <c r="S48" s="170">
        <f t="shared" si="12"/>
        <v>100.06814684328542</v>
      </c>
      <c r="T48" s="171">
        <f t="shared" si="13"/>
        <v>36.22894657055622</v>
      </c>
      <c r="U48" s="170">
        <f t="shared" si="14"/>
        <v>77.55377506718335</v>
      </c>
      <c r="V48" s="170">
        <f t="shared" si="15"/>
        <v>85.6894311650281</v>
      </c>
      <c r="W48" s="170">
        <f t="shared" si="16"/>
        <v>8.135656097844745</v>
      </c>
      <c r="X48" s="143">
        <f t="shared" si="17"/>
        <v>88</v>
      </c>
      <c r="Y48" s="170">
        <f t="shared" si="18"/>
        <v>85.50377506718335</v>
      </c>
      <c r="Z48" s="168">
        <f t="shared" si="19"/>
        <v>0.1727447975019612</v>
      </c>
      <c r="AB48" s="168">
        <f t="shared" si="20"/>
        <v>53.29962297644667</v>
      </c>
      <c r="AC48" s="168">
        <f t="shared" si="21"/>
        <v>0.9207232577997159</v>
      </c>
      <c r="AD48" s="170">
        <f t="shared" si="22"/>
        <v>24.537101253185284</v>
      </c>
      <c r="AE48" s="170">
        <f t="shared" si="23"/>
        <v>100.06814684328542</v>
      </c>
      <c r="AG48" s="170">
        <f t="shared" si="24"/>
        <v>87.97559996608592</v>
      </c>
    </row>
    <row r="49" spans="2:33" ht="12.75">
      <c r="B49" s="172">
        <f t="shared" si="25"/>
        <v>39.99999999999994</v>
      </c>
      <c r="C49" s="168">
        <f t="shared" si="0"/>
        <v>4.887776215508094</v>
      </c>
      <c r="D49" s="168">
        <f t="shared" si="1"/>
        <v>-8.001716859596817</v>
      </c>
      <c r="E49" s="168">
        <f t="shared" si="2"/>
        <v>9.376450769563213</v>
      </c>
      <c r="H49" s="168">
        <f t="shared" si="3"/>
        <v>24.457533323061103</v>
      </c>
      <c r="I49" s="168">
        <f t="shared" si="4"/>
        <v>-25.432175315088948</v>
      </c>
      <c r="J49" s="168">
        <f t="shared" si="5"/>
        <v>35.284082494888025</v>
      </c>
      <c r="L49" s="169">
        <f t="shared" si="6"/>
        <v>0.21179821922589373</v>
      </c>
      <c r="M49" s="169"/>
      <c r="N49" s="168">
        <f t="shared" si="7"/>
        <v>59.018437669998086</v>
      </c>
      <c r="O49" s="168">
        <f t="shared" si="8"/>
        <v>1.6726646549063222</v>
      </c>
      <c r="P49" s="170">
        <f t="shared" si="9"/>
        <v>49.35902733919882</v>
      </c>
      <c r="Q49" s="170">
        <f t="shared" si="10"/>
        <v>11.191228191091543</v>
      </c>
      <c r="R49" s="170">
        <f t="shared" si="11"/>
        <v>217.69849906296557</v>
      </c>
      <c r="S49" s="170">
        <f t="shared" si="12"/>
        <v>101.78831824707959</v>
      </c>
      <c r="T49" s="171">
        <f t="shared" si="13"/>
        <v>39.99999999999994</v>
      </c>
      <c r="U49" s="170">
        <f t="shared" si="14"/>
        <v>78.38867503632656</v>
      </c>
      <c r="V49" s="170">
        <f t="shared" si="15"/>
        <v>86.06179973983886</v>
      </c>
      <c r="W49" s="170">
        <f t="shared" si="16"/>
        <v>7.6731247035123005</v>
      </c>
      <c r="X49" s="143">
        <f t="shared" si="17"/>
        <v>88</v>
      </c>
      <c r="Y49" s="170">
        <f t="shared" si="18"/>
        <v>86.33867503632656</v>
      </c>
      <c r="Z49" s="168">
        <f t="shared" si="19"/>
        <v>0.2834139162170025</v>
      </c>
      <c r="AB49" s="168">
        <f t="shared" si="20"/>
        <v>53.50573801004898</v>
      </c>
      <c r="AC49" s="168">
        <f t="shared" si="21"/>
        <v>1.5164270749508908</v>
      </c>
      <c r="AD49" s="170">
        <f t="shared" si="22"/>
        <v>40.568774891833634</v>
      </c>
      <c r="AE49" s="170">
        <f t="shared" si="23"/>
        <v>100.93657124679324</v>
      </c>
      <c r="AG49" s="170">
        <f t="shared" si="24"/>
        <v>89.70411007149083</v>
      </c>
    </row>
    <row r="50" spans="2:33" ht="12.75">
      <c r="B50" s="172">
        <f t="shared" si="25"/>
        <v>44.163580546952424</v>
      </c>
      <c r="C50" s="168">
        <f t="shared" si="0"/>
        <v>4.54601008848463</v>
      </c>
      <c r="D50" s="168">
        <f t="shared" si="1"/>
        <v>-6.7205808254411075</v>
      </c>
      <c r="E50" s="168">
        <f t="shared" si="2"/>
        <v>8.113717665527357</v>
      </c>
      <c r="H50" s="168">
        <f t="shared" si="3"/>
        <v>10.506844085877</v>
      </c>
      <c r="I50" s="168">
        <f t="shared" si="4"/>
        <v>-17.06420469504424</v>
      </c>
      <c r="J50" s="168">
        <f t="shared" si="5"/>
        <v>20.039482391501494</v>
      </c>
      <c r="L50" s="169">
        <f t="shared" si="6"/>
        <v>0.1900557747771189</v>
      </c>
      <c r="M50" s="169"/>
      <c r="N50" s="168">
        <f t="shared" si="7"/>
        <v>65.77016675583221</v>
      </c>
      <c r="O50" s="168">
        <f t="shared" si="8"/>
        <v>3.2820292196631065</v>
      </c>
      <c r="P50" s="170">
        <f t="shared" si="9"/>
        <v>107.92980453737819</v>
      </c>
      <c r="Q50" s="170">
        <f t="shared" si="10"/>
        <v>43.08686319488968</v>
      </c>
      <c r="R50" s="170">
        <f t="shared" si="11"/>
        <v>270.3571771931235</v>
      </c>
      <c r="S50" s="170">
        <f t="shared" si="12"/>
        <v>103.50848965087377</v>
      </c>
      <c r="T50" s="171">
        <f t="shared" si="13"/>
        <v>44.163580546952424</v>
      </c>
      <c r="U50" s="170">
        <f t="shared" si="14"/>
        <v>79.16802175476543</v>
      </c>
      <c r="V50" s="170">
        <f t="shared" si="15"/>
        <v>86.37965475391009</v>
      </c>
      <c r="W50" s="170">
        <f t="shared" si="16"/>
        <v>7.211632999144655</v>
      </c>
      <c r="X50" s="143">
        <f t="shared" si="17"/>
        <v>88</v>
      </c>
      <c r="Y50" s="170">
        <f t="shared" si="18"/>
        <v>87.11802175476544</v>
      </c>
      <c r="Z50" s="168">
        <f t="shared" si="19"/>
        <v>0.49901488494737173</v>
      </c>
      <c r="AB50" s="168">
        <f t="shared" si="20"/>
        <v>53.50573801004898</v>
      </c>
      <c r="AC50" s="168">
        <f t="shared" si="21"/>
        <v>2.6700159697108807</v>
      </c>
      <c r="AD50" s="170">
        <f t="shared" si="22"/>
        <v>71.43058747899863</v>
      </c>
      <c r="AE50" s="170">
        <f t="shared" si="23"/>
        <v>101.71591796523211</v>
      </c>
      <c r="AG50" s="170">
        <f t="shared" si="24"/>
        <v>91.3435424918268</v>
      </c>
    </row>
    <row r="51" spans="2:33" ht="12.75">
      <c r="B51" s="172">
        <f t="shared" si="25"/>
        <v>48.76054616817894</v>
      </c>
      <c r="C51" s="168">
        <f t="shared" si="0"/>
        <v>4.3023382275806465</v>
      </c>
      <c r="D51" s="168">
        <f t="shared" si="1"/>
        <v>-5.634057093205051</v>
      </c>
      <c r="E51" s="168">
        <f t="shared" si="2"/>
        <v>7.088914836136483</v>
      </c>
      <c r="H51" s="168">
        <f t="shared" si="3"/>
        <v>6.755371572757258</v>
      </c>
      <c r="I51" s="168">
        <f t="shared" si="4"/>
        <v>-11.620913774426144</v>
      </c>
      <c r="J51" s="168">
        <f t="shared" si="5"/>
        <v>13.441751449817252</v>
      </c>
      <c r="L51" s="169">
        <f t="shared" si="6"/>
        <v>0.16945746666152245</v>
      </c>
      <c r="M51" s="169"/>
      <c r="N51" s="168">
        <f t="shared" si="7"/>
        <v>73.76482279749725</v>
      </c>
      <c r="O51" s="168">
        <f t="shared" si="8"/>
        <v>5.487738935873578</v>
      </c>
      <c r="P51" s="170">
        <f t="shared" si="9"/>
        <v>202.40104508182029</v>
      </c>
      <c r="Q51" s="170">
        <f t="shared" si="10"/>
        <v>120.46111451321148</v>
      </c>
      <c r="R51" s="170">
        <f t="shared" si="11"/>
        <v>340.0780676466356</v>
      </c>
      <c r="S51" s="170">
        <f t="shared" si="12"/>
        <v>105.22866105466795</v>
      </c>
      <c r="T51" s="171">
        <f t="shared" si="13"/>
        <v>48.76054616817894</v>
      </c>
      <c r="U51" s="170">
        <f t="shared" si="14"/>
        <v>79.89178594903416</v>
      </c>
      <c r="V51" s="170">
        <f t="shared" si="15"/>
        <v>86.6493769645161</v>
      </c>
      <c r="W51" s="170">
        <f t="shared" si="16"/>
        <v>6.757591015481935</v>
      </c>
      <c r="X51" s="143">
        <f t="shared" si="17"/>
        <v>88</v>
      </c>
      <c r="Y51" s="170">
        <f t="shared" si="18"/>
        <v>87.84178594903416</v>
      </c>
      <c r="Z51" s="168">
        <f t="shared" si="19"/>
        <v>0.7439506702183484</v>
      </c>
      <c r="AB51" s="168">
        <f t="shared" si="20"/>
        <v>53.50573801004898</v>
      </c>
      <c r="AC51" s="168">
        <f t="shared" si="21"/>
        <v>3.9805629653103294</v>
      </c>
      <c r="AD51" s="170">
        <f t="shared" si="22"/>
        <v>106.49147957719909</v>
      </c>
      <c r="AE51" s="170">
        <f t="shared" si="23"/>
        <v>102.43968215950085</v>
      </c>
      <c r="AG51" s="170">
        <f t="shared" si="24"/>
        <v>92.92739238799263</v>
      </c>
    </row>
    <row r="52" spans="2:33" ht="12.75">
      <c r="B52" s="172">
        <f t="shared" si="25"/>
        <v>53.83600770529416</v>
      </c>
      <c r="C52" s="168">
        <f t="shared" si="0"/>
        <v>4.12381773773792</v>
      </c>
      <c r="D52" s="168">
        <f t="shared" si="1"/>
        <v>-4.690915135259845</v>
      </c>
      <c r="E52" s="168">
        <f t="shared" si="2"/>
        <v>6.245843220918356</v>
      </c>
      <c r="H52" s="168">
        <f t="shared" si="3"/>
        <v>5.326190070377514</v>
      </c>
      <c r="I52" s="168">
        <f t="shared" si="4"/>
        <v>-8.381001097643578</v>
      </c>
      <c r="J52" s="168">
        <f t="shared" si="5"/>
        <v>9.930230614869469</v>
      </c>
      <c r="L52" s="169">
        <f t="shared" si="6"/>
        <v>0.15012848088779318</v>
      </c>
      <c r="M52" s="169"/>
      <c r="N52" s="168">
        <f t="shared" si="7"/>
        <v>83.26201614830543</v>
      </c>
      <c r="O52" s="168">
        <f t="shared" si="8"/>
        <v>8.384701159269088</v>
      </c>
      <c r="P52" s="170">
        <f t="shared" si="9"/>
        <v>349.0635616608891</v>
      </c>
      <c r="Q52" s="170">
        <f t="shared" si="10"/>
        <v>281.2128541209936</v>
      </c>
      <c r="R52" s="170">
        <f t="shared" si="11"/>
        <v>433.2852083175422</v>
      </c>
      <c r="S52" s="170">
        <f t="shared" si="12"/>
        <v>106.94883245846214</v>
      </c>
      <c r="T52" s="171">
        <f t="shared" si="13"/>
        <v>53.83600770529416</v>
      </c>
      <c r="U52" s="170">
        <f t="shared" si="14"/>
        <v>80.56000496399676</v>
      </c>
      <c r="V52" s="170">
        <f t="shared" si="15"/>
        <v>86.87706935657054</v>
      </c>
      <c r="W52" s="170">
        <f t="shared" si="16"/>
        <v>6.3170643925737835</v>
      </c>
      <c r="X52" s="143">
        <f t="shared" si="17"/>
        <v>88</v>
      </c>
      <c r="Y52" s="170">
        <f t="shared" si="18"/>
        <v>88.51000496399676</v>
      </c>
      <c r="Z52" s="168">
        <f t="shared" si="19"/>
        <v>1.0070259581913494</v>
      </c>
      <c r="AB52" s="168">
        <f t="shared" si="20"/>
        <v>53.50573801004898</v>
      </c>
      <c r="AC52" s="168">
        <f t="shared" si="21"/>
        <v>5.388166708830488</v>
      </c>
      <c r="AD52" s="170">
        <f t="shared" si="22"/>
        <v>144.14891813857597</v>
      </c>
      <c r="AE52" s="170">
        <f t="shared" si="23"/>
        <v>103.10790117446345</v>
      </c>
      <c r="AG52" s="170">
        <f t="shared" si="24"/>
        <v>94.4556971048523</v>
      </c>
    </row>
    <row r="53" spans="2:33" ht="12.75">
      <c r="B53" s="172">
        <f t="shared" si="25"/>
        <v>59.439771565477834</v>
      </c>
      <c r="C53" s="168">
        <f t="shared" si="0"/>
        <v>3.990178292444633</v>
      </c>
      <c r="D53" s="168">
        <f t="shared" si="1"/>
        <v>-3.8550282945512304</v>
      </c>
      <c r="E53" s="168">
        <f t="shared" si="2"/>
        <v>5.548221873473242</v>
      </c>
      <c r="H53" s="168">
        <f t="shared" si="3"/>
        <v>4.644966709251262</v>
      </c>
      <c r="I53" s="168">
        <f t="shared" si="4"/>
        <v>-6.24263669211288</v>
      </c>
      <c r="J53" s="168">
        <f t="shared" si="5"/>
        <v>7.78114571253916</v>
      </c>
      <c r="L53" s="169">
        <f t="shared" si="6"/>
        <v>0.13215975922464931</v>
      </c>
      <c r="M53" s="169"/>
      <c r="N53" s="168">
        <f t="shared" si="7"/>
        <v>94.58249677008043</v>
      </c>
      <c r="O53" s="168">
        <f t="shared" si="8"/>
        <v>12.155343218629442</v>
      </c>
      <c r="P53" s="170">
        <f t="shared" si="9"/>
        <v>574.8413553576191</v>
      </c>
      <c r="Q53" s="170">
        <f t="shared" si="10"/>
        <v>591.009475050723</v>
      </c>
      <c r="R53" s="170">
        <f t="shared" si="11"/>
        <v>559.1155434538921</v>
      </c>
      <c r="S53" s="170">
        <f t="shared" si="12"/>
        <v>108.66900386225632</v>
      </c>
      <c r="T53" s="171">
        <f t="shared" si="13"/>
        <v>59.439771565477834</v>
      </c>
      <c r="U53" s="170">
        <f t="shared" si="14"/>
        <v>81.17289934083497</v>
      </c>
      <c r="V53" s="170">
        <f t="shared" si="15"/>
        <v>87.06841543425867</v>
      </c>
      <c r="W53" s="170">
        <f t="shared" si="16"/>
        <v>5.895516093423694</v>
      </c>
      <c r="X53" s="143">
        <f t="shared" si="17"/>
        <v>88</v>
      </c>
      <c r="Y53" s="170">
        <f t="shared" si="18"/>
        <v>89.12289934083498</v>
      </c>
      <c r="Z53" s="168">
        <f t="shared" si="19"/>
        <v>1.2851577864536325</v>
      </c>
      <c r="AB53" s="168">
        <f t="shared" si="20"/>
        <v>53.50573801004898</v>
      </c>
      <c r="AC53" s="168">
        <f t="shared" si="21"/>
        <v>6.876331582356253</v>
      </c>
      <c r="AD53" s="170">
        <f t="shared" si="22"/>
        <v>183.9615980578896</v>
      </c>
      <c r="AE53" s="170">
        <f t="shared" si="23"/>
        <v>103.72079555130166</v>
      </c>
      <c r="AG53" s="170">
        <f t="shared" si="24"/>
        <v>95.92867718358761</v>
      </c>
    </row>
    <row r="54" spans="2:33" ht="12.75">
      <c r="B54" s="172">
        <f t="shared" si="25"/>
        <v>65.62682848061091</v>
      </c>
      <c r="C54" s="168">
        <f t="shared" si="0"/>
        <v>3.8883978712259655</v>
      </c>
      <c r="D54" s="168">
        <f t="shared" si="1"/>
        <v>-3.100044729771891</v>
      </c>
      <c r="E54" s="168">
        <f t="shared" si="2"/>
        <v>4.972918190714693</v>
      </c>
      <c r="H54" s="168">
        <f t="shared" si="3"/>
        <v>4.270770158339095</v>
      </c>
      <c r="I54" s="168">
        <f t="shared" si="4"/>
        <v>-4.69952753557167</v>
      </c>
      <c r="J54" s="168">
        <f t="shared" si="5"/>
        <v>6.350199745122675</v>
      </c>
      <c r="L54" s="169">
        <f t="shared" si="6"/>
        <v>0.11561015649433</v>
      </c>
      <c r="M54" s="169"/>
      <c r="N54" s="168">
        <f t="shared" si="7"/>
        <v>108.12198840517141</v>
      </c>
      <c r="O54" s="168">
        <f t="shared" si="8"/>
        <v>17.026549202364134</v>
      </c>
      <c r="P54" s="170">
        <f t="shared" si="9"/>
        <v>920.4721777190476</v>
      </c>
      <c r="Q54" s="170">
        <f t="shared" si="10"/>
        <v>1159.6135109621068</v>
      </c>
      <c r="R54" s="170">
        <f t="shared" si="11"/>
        <v>730.6477735430012</v>
      </c>
      <c r="S54" s="170">
        <f t="shared" si="12"/>
        <v>110.38917526605047</v>
      </c>
      <c r="T54" s="171">
        <f t="shared" si="13"/>
        <v>65.62682848061091</v>
      </c>
      <c r="U54" s="170">
        <f t="shared" si="14"/>
        <v>81.73100575077251</v>
      </c>
      <c r="V54" s="170">
        <f t="shared" si="15"/>
        <v>87.22859300885098</v>
      </c>
      <c r="W54" s="170">
        <f t="shared" si="16"/>
        <v>5.497587258078468</v>
      </c>
      <c r="X54" s="143">
        <f t="shared" si="17"/>
        <v>88</v>
      </c>
      <c r="Y54" s="170">
        <f t="shared" si="18"/>
        <v>89.68100575077251</v>
      </c>
      <c r="Z54" s="168">
        <f t="shared" si="19"/>
        <v>1.5747536142749818</v>
      </c>
      <c r="AB54" s="168">
        <f t="shared" si="20"/>
        <v>53.50573801004898</v>
      </c>
      <c r="AC54" s="168">
        <f t="shared" si="21"/>
        <v>8.42583543157749</v>
      </c>
      <c r="AD54" s="170">
        <f t="shared" si="22"/>
        <v>225.41527155888656</v>
      </c>
      <c r="AE54" s="170">
        <f t="shared" si="23"/>
        <v>104.2789019612392</v>
      </c>
      <c r="AG54" s="170">
        <f t="shared" si="24"/>
        <v>97.34686929542224</v>
      </c>
    </row>
    <row r="55" spans="2:33" ht="12.75">
      <c r="B55" s="172">
        <f t="shared" si="25"/>
        <v>72.4578931411124</v>
      </c>
      <c r="C55" s="168">
        <f t="shared" si="0"/>
        <v>3.809800411543408</v>
      </c>
      <c r="D55" s="168">
        <f t="shared" si="1"/>
        <v>-2.406092521384384</v>
      </c>
      <c r="E55" s="168">
        <f t="shared" si="2"/>
        <v>4.505980514522691</v>
      </c>
      <c r="H55" s="168">
        <f t="shared" si="3"/>
        <v>4.044567367146466</v>
      </c>
      <c r="I55" s="168">
        <f t="shared" si="4"/>
        <v>-3.505155644218111</v>
      </c>
      <c r="J55" s="168">
        <f t="shared" si="5"/>
        <v>5.352068878254481</v>
      </c>
      <c r="L55" s="169">
        <f t="shared" si="6"/>
        <v>0.10050836008552223</v>
      </c>
      <c r="M55" s="169"/>
      <c r="N55" s="168">
        <f t="shared" si="7"/>
        <v>124.36776392892881</v>
      </c>
      <c r="O55" s="168">
        <f t="shared" si="8"/>
        <v>23.237324996738458</v>
      </c>
      <c r="P55" s="170">
        <f t="shared" si="9"/>
        <v>1444.9870747670825</v>
      </c>
      <c r="Q55" s="170">
        <f t="shared" si="10"/>
        <v>2159.893092016184</v>
      </c>
      <c r="R55" s="170">
        <f t="shared" si="11"/>
        <v>966.7087940426104</v>
      </c>
      <c r="S55" s="170">
        <f t="shared" si="12"/>
        <v>112.10934666984465</v>
      </c>
      <c r="T55" s="171">
        <f t="shared" si="13"/>
        <v>72.4578931411124</v>
      </c>
      <c r="U55" s="170">
        <f t="shared" si="14"/>
        <v>82.23530111348322</v>
      </c>
      <c r="V55" s="170">
        <f t="shared" si="15"/>
        <v>87.36223424480164</v>
      </c>
      <c r="W55" s="170">
        <f t="shared" si="16"/>
        <v>5.126933131318424</v>
      </c>
      <c r="X55" s="143">
        <f t="shared" si="17"/>
        <v>88</v>
      </c>
      <c r="Y55" s="170">
        <f t="shared" si="18"/>
        <v>90.18530111348322</v>
      </c>
      <c r="Z55" s="168">
        <f t="shared" si="19"/>
        <v>1.8684363425571966</v>
      </c>
      <c r="AB55" s="168">
        <f t="shared" si="20"/>
        <v>53.50573801004898</v>
      </c>
      <c r="AC55" s="168">
        <f t="shared" si="21"/>
        <v>9.997206543331949</v>
      </c>
      <c r="AD55" s="170">
        <f t="shared" si="22"/>
        <v>267.4539570699333</v>
      </c>
      <c r="AE55" s="170">
        <f t="shared" si="23"/>
        <v>104.7831973239499</v>
      </c>
      <c r="AG55" s="170">
        <f t="shared" si="24"/>
        <v>98.71125036003004</v>
      </c>
    </row>
    <row r="56" spans="2:33" ht="12.75">
      <c r="B56" s="172">
        <f t="shared" si="25"/>
        <v>79.99999999999984</v>
      </c>
      <c r="C56" s="168">
        <f t="shared" si="0"/>
        <v>3.7484229610813644</v>
      </c>
      <c r="D56" s="168">
        <f t="shared" si="1"/>
        <v>-1.757683563385815</v>
      </c>
      <c r="E56" s="168">
        <f t="shared" si="2"/>
        <v>4.140063550739124</v>
      </c>
      <c r="H56" s="168">
        <f t="shared" si="3"/>
        <v>3.898193305819925</v>
      </c>
      <c r="I56" s="168">
        <f t="shared" si="4"/>
        <v>-2.5274933853832384</v>
      </c>
      <c r="J56" s="168">
        <f t="shared" si="5"/>
        <v>4.645872777282574</v>
      </c>
      <c r="L56" s="169">
        <f t="shared" si="6"/>
        <v>0.08685468894079106</v>
      </c>
      <c r="M56" s="169"/>
      <c r="N56" s="168">
        <f t="shared" si="7"/>
        <v>143.91853971777235</v>
      </c>
      <c r="O56" s="168">
        <f t="shared" si="8"/>
        <v>30.97771863696018</v>
      </c>
      <c r="P56" s="170">
        <f t="shared" si="9"/>
        <v>2229.1340150096653</v>
      </c>
      <c r="Q56" s="170">
        <f t="shared" si="10"/>
        <v>3838.47620780268</v>
      </c>
      <c r="R56" s="170">
        <f t="shared" si="11"/>
        <v>1294.5341296560011</v>
      </c>
      <c r="S56" s="170">
        <f t="shared" si="12"/>
        <v>113.82951807363884</v>
      </c>
      <c r="T56" s="171">
        <f t="shared" si="13"/>
        <v>79.99999999999984</v>
      </c>
      <c r="U56" s="170">
        <f t="shared" si="14"/>
        <v>82.6872941621848</v>
      </c>
      <c r="V56" s="170">
        <f t="shared" si="15"/>
        <v>87.47342122555301</v>
      </c>
      <c r="W56" s="170">
        <f t="shared" si="16"/>
        <v>4.7861270633682125</v>
      </c>
      <c r="X56" s="143">
        <f t="shared" si="17"/>
        <v>88</v>
      </c>
      <c r="Y56" s="170">
        <f t="shared" si="18"/>
        <v>90.6372941621848</v>
      </c>
      <c r="Z56" s="168">
        <f t="shared" si="19"/>
        <v>2.152448093046818</v>
      </c>
      <c r="AB56" s="168">
        <f t="shared" si="20"/>
        <v>53.50573801004898</v>
      </c>
      <c r="AC56" s="168">
        <f t="shared" si="21"/>
        <v>11.516832374679256</v>
      </c>
      <c r="AD56" s="170">
        <f t="shared" si="22"/>
        <v>308.10830787261926</v>
      </c>
      <c r="AE56" s="170">
        <f t="shared" si="23"/>
        <v>105.23519037265149</v>
      </c>
      <c r="AG56" s="170">
        <f t="shared" si="24"/>
        <v>100.02332911062871</v>
      </c>
    </row>
    <row r="57" spans="2:33" ht="12.75">
      <c r="B57" s="172">
        <f t="shared" si="25"/>
        <v>88.3271610939048</v>
      </c>
      <c r="C57" s="168">
        <f t="shared" si="0"/>
        <v>3.700056617779474</v>
      </c>
      <c r="D57" s="168">
        <f t="shared" si="1"/>
        <v>-1.1423420867124254</v>
      </c>
      <c r="E57" s="168">
        <f t="shared" si="2"/>
        <v>3.8723848488816524</v>
      </c>
      <c r="H57" s="168">
        <f t="shared" si="3"/>
        <v>3.798593560789393</v>
      </c>
      <c r="I57" s="168">
        <f t="shared" si="4"/>
        <v>-1.6896387249091576</v>
      </c>
      <c r="J57" s="168">
        <f t="shared" si="5"/>
        <v>4.15742613413435</v>
      </c>
      <c r="L57" s="169">
        <f t="shared" si="6"/>
        <v>0.07462310939605475</v>
      </c>
      <c r="M57" s="169"/>
      <c r="N57" s="168">
        <f t="shared" si="7"/>
        <v>167.50843138494122</v>
      </c>
      <c r="O57" s="168">
        <f t="shared" si="8"/>
        <v>40.29137884366031</v>
      </c>
      <c r="P57" s="170">
        <f t="shared" si="9"/>
        <v>3374.5728342189727</v>
      </c>
      <c r="Q57" s="170">
        <f t="shared" si="10"/>
        <v>6493.580836493431</v>
      </c>
      <c r="R57" s="170">
        <f t="shared" si="11"/>
        <v>1753.6921615652225</v>
      </c>
      <c r="S57" s="170">
        <f t="shared" si="12"/>
        <v>115.54968947743299</v>
      </c>
      <c r="T57" s="171">
        <f t="shared" si="13"/>
        <v>88.3271610939048</v>
      </c>
      <c r="U57" s="170">
        <f t="shared" si="14"/>
        <v>83.08906700619013</v>
      </c>
      <c r="V57" s="170">
        <f t="shared" si="15"/>
        <v>87.5657066469345</v>
      </c>
      <c r="W57" s="170">
        <f t="shared" si="16"/>
        <v>4.4766396407443665</v>
      </c>
      <c r="X57" s="143">
        <f t="shared" si="17"/>
        <v>88</v>
      </c>
      <c r="Y57" s="170">
        <f t="shared" si="18"/>
        <v>91.03906700619014</v>
      </c>
      <c r="Z57" s="168">
        <f t="shared" si="19"/>
        <v>2.4053343769346793</v>
      </c>
      <c r="AB57" s="168">
        <f t="shared" si="20"/>
        <v>53.50573801004898</v>
      </c>
      <c r="AC57" s="168">
        <f t="shared" si="21"/>
        <v>12</v>
      </c>
      <c r="AD57" s="170">
        <f t="shared" si="22"/>
        <v>321.03442806029386</v>
      </c>
      <c r="AE57" s="170">
        <f t="shared" si="23"/>
        <v>105.02907179872092</v>
      </c>
      <c r="AG57" s="170">
        <f t="shared" si="24"/>
        <v>100.67729623859522</v>
      </c>
    </row>
    <row r="58" spans="2:33" ht="12.75">
      <c r="B58" s="172">
        <f t="shared" si="25"/>
        <v>97.52109233635782</v>
      </c>
      <c r="C58" s="168">
        <f t="shared" si="0"/>
        <v>3.661661746297482</v>
      </c>
      <c r="D58" s="168">
        <f t="shared" si="1"/>
        <v>-0.5496826677005435</v>
      </c>
      <c r="E58" s="168">
        <f t="shared" si="2"/>
        <v>3.7026906135226465</v>
      </c>
      <c r="H58" s="168">
        <f t="shared" si="3"/>
        <v>3.7281877957126928</v>
      </c>
      <c r="I58" s="168">
        <f t="shared" si="4"/>
        <v>-0.9434787560441538</v>
      </c>
      <c r="J58" s="168">
        <f t="shared" si="5"/>
        <v>3.8457166306434605</v>
      </c>
      <c r="L58" s="169">
        <f t="shared" si="6"/>
        <v>0.06376382668325759</v>
      </c>
      <c r="M58" s="169"/>
      <c r="N58" s="168">
        <f t="shared" si="7"/>
        <v>196.03591331011057</v>
      </c>
      <c r="O58" s="168">
        <f t="shared" si="8"/>
        <v>50.975132111413544</v>
      </c>
      <c r="P58" s="170">
        <f t="shared" si="9"/>
        <v>4996.47828978225</v>
      </c>
      <c r="Q58" s="170">
        <f t="shared" si="10"/>
        <v>10393.856375104257</v>
      </c>
      <c r="R58" s="170">
        <f t="shared" si="11"/>
        <v>2401.879956708074</v>
      </c>
      <c r="S58" s="170">
        <f t="shared" si="12"/>
        <v>117.26986088122717</v>
      </c>
      <c r="T58" s="171">
        <f t="shared" si="13"/>
        <v>97.52109233635782</v>
      </c>
      <c r="U58" s="170">
        <f t="shared" si="14"/>
        <v>83.44325903772591</v>
      </c>
      <c r="V58" s="170">
        <f t="shared" si="15"/>
        <v>87.64215064732454</v>
      </c>
      <c r="W58" s="170">
        <f t="shared" si="16"/>
        <v>4.198891609598633</v>
      </c>
      <c r="X58" s="143">
        <f t="shared" si="17"/>
        <v>88</v>
      </c>
      <c r="Y58" s="170">
        <f t="shared" si="18"/>
        <v>91.39325903772591</v>
      </c>
      <c r="Z58" s="168">
        <f t="shared" si="19"/>
        <v>2.6002955912866654</v>
      </c>
      <c r="AB58" s="168">
        <f t="shared" si="20"/>
        <v>53.50573801004898</v>
      </c>
      <c r="AC58" s="168">
        <f t="shared" si="21"/>
        <v>12</v>
      </c>
      <c r="AD58" s="170">
        <f t="shared" si="22"/>
        <v>321.03442806029386</v>
      </c>
      <c r="AE58" s="170">
        <f t="shared" si="23"/>
        <v>104.70631860206927</v>
      </c>
      <c r="AG58" s="170">
        <f t="shared" si="24"/>
        <v>101.21462874384066</v>
      </c>
    </row>
    <row r="59" spans="2:33" ht="12.75">
      <c r="B59" s="172">
        <f t="shared" si="25"/>
        <v>107.67201541058824</v>
      </c>
      <c r="C59" s="168">
        <f t="shared" si="0"/>
        <v>3.63099948597312</v>
      </c>
      <c r="D59" s="168">
        <f t="shared" si="1"/>
        <v>0.029226136497458644</v>
      </c>
      <c r="E59" s="168">
        <f t="shared" si="2"/>
        <v>3.631117105546395</v>
      </c>
      <c r="H59" s="168">
        <f t="shared" si="3"/>
        <v>3.676929551803462</v>
      </c>
      <c r="I59" s="168">
        <f t="shared" si="4"/>
        <v>-0.2569601853187322</v>
      </c>
      <c r="J59" s="168">
        <f t="shared" si="5"/>
        <v>3.6858973759133127</v>
      </c>
      <c r="L59" s="169">
        <f t="shared" si="6"/>
        <v>0.05420666268175085</v>
      </c>
      <c r="M59" s="169"/>
      <c r="N59" s="168">
        <f t="shared" si="7"/>
        <v>230.59895927162907</v>
      </c>
      <c r="O59" s="168">
        <f t="shared" si="8"/>
        <v>62.562501272702946</v>
      </c>
      <c r="P59" s="170">
        <f t="shared" si="9"/>
        <v>7213.423841457634</v>
      </c>
      <c r="Q59" s="170">
        <f t="shared" si="10"/>
        <v>15656.26626198783</v>
      </c>
      <c r="R59" s="170">
        <f t="shared" si="11"/>
        <v>3323.492501072403</v>
      </c>
      <c r="S59" s="170">
        <f t="shared" si="12"/>
        <v>118.99003228502136</v>
      </c>
      <c r="T59" s="171">
        <f t="shared" si="13"/>
        <v>107.67201541058824</v>
      </c>
      <c r="U59" s="170">
        <f t="shared" si="14"/>
        <v>83.75299639010106</v>
      </c>
      <c r="V59" s="170">
        <f t="shared" si="15"/>
        <v>87.70536661323098</v>
      </c>
      <c r="W59" s="170">
        <f t="shared" si="16"/>
        <v>3.9523702231299183</v>
      </c>
      <c r="X59" s="143">
        <f t="shared" si="17"/>
        <v>88</v>
      </c>
      <c r="Y59" s="170">
        <f t="shared" si="18"/>
        <v>91.70299639010106</v>
      </c>
      <c r="Z59" s="168">
        <f t="shared" si="19"/>
        <v>2.7130435224128133</v>
      </c>
      <c r="AB59" s="168">
        <f t="shared" si="20"/>
        <v>53.50573801004898</v>
      </c>
      <c r="AC59" s="168">
        <f t="shared" si="21"/>
        <v>12</v>
      </c>
      <c r="AD59" s="170">
        <f t="shared" si="22"/>
        <v>321.03442806029386</v>
      </c>
      <c r="AE59" s="170">
        <f t="shared" si="23"/>
        <v>104.64737513280976</v>
      </c>
      <c r="AG59" s="170">
        <f t="shared" si="24"/>
        <v>102.01577097647824</v>
      </c>
    </row>
    <row r="60" spans="2:33" ht="12.75">
      <c r="B60" s="172">
        <f t="shared" si="25"/>
        <v>118.8795431309556</v>
      </c>
      <c r="C60" s="168">
        <f t="shared" si="0"/>
        <v>3.606392663813617</v>
      </c>
      <c r="D60" s="168">
        <f t="shared" si="1"/>
        <v>0.6023127104545951</v>
      </c>
      <c r="E60" s="168">
        <f t="shared" si="2"/>
        <v>3.6563436171650823</v>
      </c>
      <c r="H60" s="168">
        <f t="shared" si="3"/>
        <v>3.6387380641112035</v>
      </c>
      <c r="I60" s="168">
        <f t="shared" si="4"/>
        <v>0.3925387789328525</v>
      </c>
      <c r="J60" s="168">
        <f t="shared" si="5"/>
        <v>3.6598499138868856</v>
      </c>
      <c r="L60" s="169">
        <f t="shared" si="6"/>
        <v>0.045865195302692875</v>
      </c>
      <c r="M60" s="169"/>
      <c r="N60" s="168">
        <f t="shared" si="7"/>
        <v>272.537812550557</v>
      </c>
      <c r="O60" s="168">
        <f t="shared" si="8"/>
        <v>74.46693688624858</v>
      </c>
      <c r="P60" s="170">
        <f t="shared" si="9"/>
        <v>10147.528043159287</v>
      </c>
      <c r="Q60" s="170">
        <f t="shared" si="10"/>
        <v>22181.298756882115</v>
      </c>
      <c r="R60" s="170">
        <f t="shared" si="11"/>
        <v>4642.303704365159</v>
      </c>
      <c r="S60" s="170">
        <f t="shared" si="12"/>
        <v>120.71020368881554</v>
      </c>
      <c r="T60" s="171">
        <f t="shared" si="13"/>
        <v>118.8795431309556</v>
      </c>
      <c r="U60" s="170">
        <f t="shared" si="14"/>
        <v>84.02177933536291</v>
      </c>
      <c r="V60" s="170">
        <f t="shared" si="15"/>
        <v>87.75757064107296</v>
      </c>
      <c r="W60" s="170">
        <f t="shared" si="16"/>
        <v>3.735791305710052</v>
      </c>
      <c r="X60" s="143">
        <f t="shared" si="17"/>
        <v>88</v>
      </c>
      <c r="Y60" s="170">
        <f t="shared" si="18"/>
        <v>91.97177933536291</v>
      </c>
      <c r="Z60" s="168">
        <f t="shared" si="19"/>
        <v>2.732352483104876</v>
      </c>
      <c r="AB60" s="168">
        <f t="shared" si="20"/>
        <v>53.50573801004898</v>
      </c>
      <c r="AC60" s="168">
        <f t="shared" si="21"/>
        <v>12</v>
      </c>
      <c r="AD60" s="170">
        <f t="shared" si="22"/>
        <v>321.03442806029386</v>
      </c>
      <c r="AE60" s="170">
        <f t="shared" si="23"/>
        <v>104.85455880986034</v>
      </c>
      <c r="AG60" s="170">
        <f t="shared" si="24"/>
        <v>103.08304035542591</v>
      </c>
    </row>
    <row r="61" spans="2:33" ht="12.75">
      <c r="B61" s="172">
        <f t="shared" si="25"/>
        <v>131.25365696122176</v>
      </c>
      <c r="C61" s="168">
        <f t="shared" si="0"/>
        <v>3.5865665455524107</v>
      </c>
      <c r="D61" s="168">
        <f t="shared" si="1"/>
        <v>1.1768306908995472</v>
      </c>
      <c r="E61" s="168">
        <f t="shared" si="2"/>
        <v>3.7747039699450418</v>
      </c>
      <c r="H61" s="168">
        <f t="shared" si="3"/>
        <v>3.6097555394193677</v>
      </c>
      <c r="I61" s="168">
        <f t="shared" si="4"/>
        <v>1.021884534399966</v>
      </c>
      <c r="J61" s="168">
        <f t="shared" si="5"/>
        <v>3.7516107282092377</v>
      </c>
      <c r="L61" s="169">
        <f t="shared" si="6"/>
        <v>0.03864141158298789</v>
      </c>
      <c r="M61" s="169"/>
      <c r="N61" s="168">
        <f t="shared" si="7"/>
        <v>323.4871472838016</v>
      </c>
      <c r="O61" s="168">
        <f t="shared" si="8"/>
        <v>86.22620274844247</v>
      </c>
      <c r="P61" s="170">
        <f t="shared" si="9"/>
        <v>13946.534174104176</v>
      </c>
      <c r="Q61" s="170">
        <f t="shared" si="10"/>
        <v>29739.832161662034</v>
      </c>
      <c r="R61" s="170">
        <f t="shared" si="11"/>
        <v>6540.245903613248</v>
      </c>
      <c r="S61" s="170">
        <f t="shared" si="12"/>
        <v>122.43037509260972</v>
      </c>
      <c r="T61" s="171">
        <f t="shared" si="13"/>
        <v>131.25365696122176</v>
      </c>
      <c r="U61" s="170">
        <f t="shared" si="14"/>
        <v>84.25334545500269</v>
      </c>
      <c r="V61" s="170">
        <f t="shared" si="15"/>
        <v>87.80063096178102</v>
      </c>
      <c r="W61" s="170">
        <f t="shared" si="16"/>
        <v>3.547285506778337</v>
      </c>
      <c r="X61" s="143">
        <f t="shared" si="17"/>
        <v>88</v>
      </c>
      <c r="Y61" s="170">
        <f t="shared" si="18"/>
        <v>92.20334545500269</v>
      </c>
      <c r="Z61" s="168">
        <f t="shared" si="19"/>
        <v>2.665521751712581</v>
      </c>
      <c r="AB61" s="168">
        <f t="shared" si="20"/>
        <v>53.50573801004898</v>
      </c>
      <c r="AC61" s="168">
        <f t="shared" si="21"/>
        <v>12</v>
      </c>
      <c r="AD61" s="170">
        <f t="shared" si="22"/>
        <v>321.03442806029386</v>
      </c>
      <c r="AE61" s="170">
        <f t="shared" si="23"/>
        <v>105.30121479455536</v>
      </c>
      <c r="AG61" s="170">
        <f t="shared" si="24"/>
        <v>104.38978204201803</v>
      </c>
    </row>
    <row r="62" spans="2:33" ht="12.75">
      <c r="B62" s="172">
        <f t="shared" si="25"/>
        <v>144.91578628222473</v>
      </c>
      <c r="C62" s="168">
        <f t="shared" si="0"/>
        <v>3.5705402179918213</v>
      </c>
      <c r="D62" s="168">
        <f t="shared" si="1"/>
        <v>1.7596050271582047</v>
      </c>
      <c r="E62" s="168">
        <f t="shared" si="2"/>
        <v>3.9805737400401853</v>
      </c>
      <c r="H62" s="168">
        <f t="shared" si="3"/>
        <v>3.58743664939046</v>
      </c>
      <c r="I62" s="168">
        <f t="shared" si="4"/>
        <v>1.6443404150370244</v>
      </c>
      <c r="J62" s="168">
        <f t="shared" si="5"/>
        <v>3.9463346429204385</v>
      </c>
      <c r="L62" s="169">
        <f t="shared" si="6"/>
        <v>0.032430490034733334</v>
      </c>
      <c r="M62" s="169"/>
      <c r="N62" s="168">
        <f t="shared" si="7"/>
        <v>385.4397508829621</v>
      </c>
      <c r="O62" s="168">
        <f t="shared" si="8"/>
        <v>97.67031581430254</v>
      </c>
      <c r="P62" s="170">
        <f t="shared" si="9"/>
        <v>18823.0110980625</v>
      </c>
      <c r="Q62" s="170">
        <f t="shared" si="10"/>
        <v>38157.96236506239</v>
      </c>
      <c r="R62" s="170">
        <f t="shared" si="11"/>
        <v>9285.237597544992</v>
      </c>
      <c r="S62" s="170">
        <f t="shared" si="12"/>
        <v>124.1505464964039</v>
      </c>
      <c r="T62" s="171">
        <f t="shared" si="13"/>
        <v>144.91578628222473</v>
      </c>
      <c r="U62" s="170">
        <f t="shared" si="14"/>
        <v>84.45152742076571</v>
      </c>
      <c r="V62" s="170">
        <f t="shared" si="15"/>
        <v>87.83611495114235</v>
      </c>
      <c r="W62" s="170">
        <f t="shared" si="16"/>
        <v>3.384587530376635</v>
      </c>
      <c r="X62" s="143">
        <f t="shared" si="17"/>
        <v>88</v>
      </c>
      <c r="Y62" s="170">
        <f t="shared" si="18"/>
        <v>92.40152742076572</v>
      </c>
      <c r="Z62" s="168">
        <f t="shared" si="19"/>
        <v>2.5339969629639967</v>
      </c>
      <c r="AB62" s="168">
        <f t="shared" si="20"/>
        <v>53.50573801004898</v>
      </c>
      <c r="AC62" s="168">
        <f t="shared" si="21"/>
        <v>12</v>
      </c>
      <c r="AD62" s="170">
        <f t="shared" si="22"/>
        <v>321.03442806029386</v>
      </c>
      <c r="AE62" s="170">
        <f t="shared" si="23"/>
        <v>105.93891957734817</v>
      </c>
      <c r="AG62" s="170">
        <f t="shared" si="24"/>
        <v>105.88757252670791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3" sqref="H33"/>
    </sheetView>
  </sheetViews>
  <sheetFormatPr defaultColWidth="9.140625" defaultRowHeight="12.75"/>
  <sheetData>
    <row r="1" ht="12.75">
      <c r="A1" s="7" t="s">
        <v>17</v>
      </c>
    </row>
    <row r="7" ht="12.75">
      <c r="H7" t="s">
        <v>19</v>
      </c>
    </row>
    <row r="9" ht="12.75">
      <c r="H9" t="s">
        <v>20</v>
      </c>
    </row>
    <row r="10" ht="12.75">
      <c r="H10" t="s">
        <v>21</v>
      </c>
    </row>
    <row r="11" ht="12.75">
      <c r="H11" t="s">
        <v>22</v>
      </c>
    </row>
    <row r="23" s="2" customFormat="1" ht="12.75">
      <c r="A23" s="2" t="s">
        <v>23</v>
      </c>
    </row>
    <row r="25" spans="1:6" ht="12.75">
      <c r="A25" s="4" t="s">
        <v>6</v>
      </c>
      <c r="B25" s="6">
        <v>23700</v>
      </c>
      <c r="C25" t="s">
        <v>3</v>
      </c>
      <c r="D25" s="4" t="s">
        <v>24</v>
      </c>
      <c r="E25" s="3">
        <f>1/(2*PI()*Rlrhp*Clrxo)</f>
        <v>98.75585945141187</v>
      </c>
      <c r="F25" t="s">
        <v>5</v>
      </c>
    </row>
    <row r="26" spans="1:3" ht="12.75">
      <c r="A26" s="4" t="s">
        <v>7</v>
      </c>
      <c r="B26" s="6">
        <v>6.8E-08</v>
      </c>
      <c r="C26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F38" sqref="F38"/>
    </sheetView>
  </sheetViews>
  <sheetFormatPr defaultColWidth="9.140625" defaultRowHeight="12.75"/>
  <sheetData>
    <row r="3" ht="12.75">
      <c r="A3" s="7" t="s">
        <v>25</v>
      </c>
    </row>
    <row r="5" ht="12.75">
      <c r="A5" s="182"/>
    </row>
    <row r="6" ht="12.75">
      <c r="A6" s="182"/>
    </row>
    <row r="7" ht="12.75">
      <c r="A7" s="182"/>
    </row>
    <row r="8" spans="1:9" ht="12.75">
      <c r="A8" s="182"/>
      <c r="I8" t="s">
        <v>19</v>
      </c>
    </row>
    <row r="9" ht="12.75">
      <c r="A9" s="182"/>
    </row>
    <row r="10" spans="1:9" ht="12.75">
      <c r="A10" s="182"/>
      <c r="I10" t="s">
        <v>20</v>
      </c>
    </row>
    <row r="11" spans="1:9" ht="12.75">
      <c r="A11" s="182"/>
      <c r="I11" t="s">
        <v>21</v>
      </c>
    </row>
    <row r="12" spans="1:9" ht="12.75">
      <c r="A12" s="182"/>
      <c r="I12" t="s">
        <v>22</v>
      </c>
    </row>
    <row r="13" ht="12.75">
      <c r="A13" s="182"/>
    </row>
    <row r="14" ht="12.75">
      <c r="A14" s="182"/>
    </row>
    <row r="15" ht="12.75">
      <c r="A15" s="182"/>
    </row>
    <row r="16" ht="12.75">
      <c r="A16" s="182"/>
    </row>
    <row r="17" ht="12.75">
      <c r="A17" s="182"/>
    </row>
    <row r="18" ht="12.75">
      <c r="A18" s="182"/>
    </row>
    <row r="19" ht="12.75">
      <c r="A19" s="182"/>
    </row>
    <row r="20" ht="12.75">
      <c r="A20" s="182"/>
    </row>
    <row r="21" ht="12.75">
      <c r="A21" s="182"/>
    </row>
    <row r="22" ht="12.75">
      <c r="A22" s="182"/>
    </row>
    <row r="24" ht="12.75">
      <c r="A24" s="2" t="s">
        <v>26</v>
      </c>
    </row>
    <row r="26" spans="1:6" ht="12.75">
      <c r="A26" s="4" t="s">
        <v>6</v>
      </c>
      <c r="B26" s="6">
        <v>2370</v>
      </c>
      <c r="C26" t="s">
        <v>3</v>
      </c>
      <c r="D26" s="4" t="s">
        <v>24</v>
      </c>
      <c r="E26" s="3">
        <f>1/(2.83*PI()*Rxo*Cxo)</f>
        <v>2157.211192642469</v>
      </c>
      <c r="F26" t="s">
        <v>5</v>
      </c>
    </row>
    <row r="27" spans="1:3" ht="12.75">
      <c r="A27" s="4" t="s">
        <v>7</v>
      </c>
      <c r="B27" s="6">
        <v>2.2E-08</v>
      </c>
      <c r="C27" t="s">
        <v>4</v>
      </c>
    </row>
  </sheetData>
  <sheetProtection/>
  <mergeCells count="1">
    <mergeCell ref="A5:A2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37" sqref="F37"/>
    </sheetView>
  </sheetViews>
  <sheetFormatPr defaultColWidth="9.140625" defaultRowHeight="12.75"/>
  <cols>
    <col min="3" max="3" width="9.57421875" style="0" bestFit="1" customWidth="1"/>
  </cols>
  <sheetData>
    <row r="1" ht="12.75">
      <c r="A1" s="7" t="s">
        <v>27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spans="1:10" ht="12.75">
      <c r="A7" s="182"/>
      <c r="J7" t="s">
        <v>19</v>
      </c>
    </row>
    <row r="8" ht="12.75">
      <c r="A8" s="182"/>
    </row>
    <row r="9" spans="1:10" ht="12.75">
      <c r="A9" s="182"/>
      <c r="J9" t="s">
        <v>20</v>
      </c>
    </row>
    <row r="10" spans="1:10" ht="12.75">
      <c r="A10" s="182"/>
      <c r="J10" t="s">
        <v>21</v>
      </c>
    </row>
    <row r="11" spans="1:10" ht="12.75">
      <c r="A11" s="182"/>
      <c r="J11" t="s">
        <v>22</v>
      </c>
    </row>
    <row r="12" ht="12.75">
      <c r="A12" s="182"/>
    </row>
    <row r="13" ht="12.75">
      <c r="A13" s="182"/>
    </row>
    <row r="14" ht="12.75">
      <c r="A14" s="182"/>
    </row>
    <row r="19" spans="1:10" ht="12.75">
      <c r="A19" s="4" t="s">
        <v>6</v>
      </c>
      <c r="B19" s="6">
        <v>2370</v>
      </c>
      <c r="C19" t="s">
        <v>3</v>
      </c>
      <c r="D19" s="4" t="s">
        <v>28</v>
      </c>
      <c r="E19" s="5">
        <f>2*Rdelay*Cdelay</f>
        <v>0.00012798</v>
      </c>
      <c r="F19" t="s">
        <v>29</v>
      </c>
      <c r="H19" s="4" t="s">
        <v>28</v>
      </c>
      <c r="I19" s="8">
        <f>E19*1000000</f>
        <v>127.98</v>
      </c>
      <c r="J19" t="s">
        <v>30</v>
      </c>
    </row>
    <row r="20" spans="1:5" ht="12.75">
      <c r="A20" s="4" t="s">
        <v>7</v>
      </c>
      <c r="B20" s="6">
        <v>2.7E-08</v>
      </c>
      <c r="C20" t="s">
        <v>4</v>
      </c>
      <c r="D20" s="4" t="s">
        <v>24</v>
      </c>
      <c r="E20" s="3">
        <f>1/(2*PI()*Rdelay*Cdelay)</f>
        <v>2487.184608405928</v>
      </c>
    </row>
    <row r="21" spans="1:4" ht="12.75">
      <c r="A21" s="4" t="s">
        <v>281</v>
      </c>
      <c r="B21" s="6">
        <v>2.2E-10</v>
      </c>
      <c r="C21" t="s">
        <v>4</v>
      </c>
      <c r="D21" t="s">
        <v>282</v>
      </c>
    </row>
    <row r="22" spans="1:2" ht="12.75">
      <c r="A22" s="4"/>
      <c r="B22" s="178"/>
    </row>
    <row r="23" spans="1:2" ht="12.75">
      <c r="A23" s="4"/>
      <c r="B23" s="178"/>
    </row>
    <row r="24" ht="12.75">
      <c r="A24" t="s">
        <v>279</v>
      </c>
    </row>
    <row r="25" spans="1:4" ht="12.75">
      <c r="A25" t="s">
        <v>280</v>
      </c>
      <c r="C25" s="8">
        <f>1/(2*PI()*Rdelay*B21)</f>
        <v>305245.38375890936</v>
      </c>
      <c r="D25" t="s">
        <v>5</v>
      </c>
    </row>
  </sheetData>
  <sheetProtection/>
  <mergeCells count="1">
    <mergeCell ref="A3:A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C30" sqref="C30"/>
    </sheetView>
  </sheetViews>
  <sheetFormatPr defaultColWidth="9.140625" defaultRowHeight="12.75"/>
  <cols>
    <col min="2" max="2" width="12.421875" style="0" bestFit="1" customWidth="1"/>
  </cols>
  <sheetData>
    <row r="1" ht="12.75">
      <c r="A1" s="7" t="s">
        <v>31</v>
      </c>
    </row>
    <row r="3" ht="12.75">
      <c r="A3" s="182"/>
    </row>
    <row r="4" ht="12.75">
      <c r="A4" s="182"/>
    </row>
    <row r="5" ht="12.75">
      <c r="A5" s="182"/>
    </row>
    <row r="6" spans="1:9" ht="12.75">
      <c r="A6" s="182"/>
      <c r="I6" t="s">
        <v>19</v>
      </c>
    </row>
    <row r="7" ht="12.75">
      <c r="A7" s="182"/>
    </row>
    <row r="8" spans="1:9" ht="12.75">
      <c r="A8" s="182"/>
      <c r="I8" t="s">
        <v>20</v>
      </c>
    </row>
    <row r="9" spans="1:9" ht="12.75">
      <c r="A9" s="182"/>
      <c r="I9" t="s">
        <v>21</v>
      </c>
    </row>
    <row r="10" spans="1:9" ht="12.75">
      <c r="A10" s="182"/>
      <c r="I10" t="s">
        <v>22</v>
      </c>
    </row>
    <row r="11" ht="12.75">
      <c r="A11" s="182"/>
    </row>
    <row r="12" ht="12.75">
      <c r="A12" s="182"/>
    </row>
    <row r="13" ht="12.75">
      <c r="A13" s="182"/>
    </row>
    <row r="16" spans="1:6" ht="12.75">
      <c r="A16" t="s">
        <v>33</v>
      </c>
      <c r="D16" t="s">
        <v>42</v>
      </c>
      <c r="E16">
        <v>0</v>
      </c>
      <c r="F16" t="s">
        <v>11</v>
      </c>
    </row>
    <row r="17" spans="1:6" ht="12.75">
      <c r="A17" s="4" t="s">
        <v>16</v>
      </c>
      <c r="B17" s="1">
        <v>2370</v>
      </c>
      <c r="D17" s="4" t="s">
        <v>37</v>
      </c>
      <c r="E17" s="3">
        <f>20*LOG(1+(InvR2/InvR1))</f>
        <v>9.98306503708715</v>
      </c>
      <c r="F17" t="s">
        <v>11</v>
      </c>
    </row>
    <row r="18" spans="1:6" ht="12.75">
      <c r="A18" s="4" t="s">
        <v>15</v>
      </c>
      <c r="B18" s="1">
        <v>5110</v>
      </c>
      <c r="D18" s="4" t="s">
        <v>35</v>
      </c>
      <c r="E18" s="3">
        <f>1/(2*PI()*InvC*InvR2)</f>
        <v>31.14578142698539</v>
      </c>
      <c r="F18" t="s">
        <v>5</v>
      </c>
    </row>
    <row r="19" spans="1:6" ht="12.75">
      <c r="A19" s="4" t="s">
        <v>7</v>
      </c>
      <c r="B19" s="6">
        <v>1E-06</v>
      </c>
      <c r="D19" s="4" t="s">
        <v>36</v>
      </c>
      <c r="E19" s="3">
        <f>1/(2*PI()*InvC*((InvR1*InvR2)/(InvR1+InvR2)))</f>
        <v>98.29976585394547</v>
      </c>
      <c r="F19" t="s">
        <v>5</v>
      </c>
    </row>
    <row r="21" spans="1:6" ht="12.75">
      <c r="A21" t="s">
        <v>32</v>
      </c>
      <c r="D21" s="4" t="s">
        <v>42</v>
      </c>
      <c r="E21" s="3">
        <f>20*LOG((1/noninvR1)*((noninvR2*noninvR3)/(noninvR2+noninvR3)))</f>
        <v>0.025796424282078914</v>
      </c>
      <c r="F21" t="s">
        <v>11</v>
      </c>
    </row>
    <row r="22" spans="1:6" ht="12.75">
      <c r="A22" s="4" t="s">
        <v>16</v>
      </c>
      <c r="B22" s="1">
        <v>2370</v>
      </c>
      <c r="D22" s="4" t="s">
        <v>37</v>
      </c>
      <c r="E22" s="3">
        <f>20*LOG(noninvR2/noninvR1)</f>
        <v>10.006258347631924</v>
      </c>
      <c r="F22" t="s">
        <v>11</v>
      </c>
    </row>
    <row r="23" spans="1:6" ht="12.75">
      <c r="A23" s="4" t="s">
        <v>15</v>
      </c>
      <c r="B23" s="1">
        <v>7500</v>
      </c>
      <c r="D23" s="4" t="s">
        <v>35</v>
      </c>
      <c r="E23" s="3">
        <f>1/(2*PI()*noninvC*(noninvR2+noninvR3))</f>
        <v>30.840395126902944</v>
      </c>
      <c r="F23" t="s">
        <v>5</v>
      </c>
    </row>
    <row r="24" spans="1:6" ht="12.75">
      <c r="A24" s="4" t="s">
        <v>34</v>
      </c>
      <c r="B24" s="1">
        <v>3480</v>
      </c>
      <c r="D24" s="4" t="s">
        <v>36</v>
      </c>
      <c r="E24" s="3">
        <f>1/(2*PI()*noninvC*noninvR3)</f>
        <v>97.30676393488343</v>
      </c>
      <c r="F24" t="s">
        <v>5</v>
      </c>
    </row>
    <row r="25" spans="1:2" ht="12.75">
      <c r="A25" s="4" t="s">
        <v>7</v>
      </c>
      <c r="B25" s="6">
        <v>4.7E-07</v>
      </c>
    </row>
    <row r="27" ht="12.75">
      <c r="A27" s="32" t="s">
        <v>283</v>
      </c>
    </row>
    <row r="28" spans="1:3" ht="12.75">
      <c r="A28" s="4" t="s">
        <v>285</v>
      </c>
      <c r="B28" s="180">
        <v>2.2E-10</v>
      </c>
      <c r="C28" t="s">
        <v>286</v>
      </c>
    </row>
    <row r="29" spans="1:3" ht="12.75">
      <c r="A29" s="4" t="s">
        <v>284</v>
      </c>
      <c r="B29" s="179">
        <f>1/(2*PI()*B28*(1/((1/noninvR2)+(1/noninvR3))))</f>
        <v>304340.17331052094</v>
      </c>
      <c r="C29" t="s">
        <v>5</v>
      </c>
    </row>
  </sheetData>
  <sheetProtection/>
  <mergeCells count="1">
    <mergeCell ref="A3:A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C36" sqref="C36"/>
    </sheetView>
  </sheetViews>
  <sheetFormatPr defaultColWidth="9.140625" defaultRowHeight="12.75"/>
  <cols>
    <col min="2" max="2" width="9.57421875" style="0" bestFit="1" customWidth="1"/>
  </cols>
  <sheetData>
    <row r="1" ht="12.75">
      <c r="A1" s="7" t="s">
        <v>38</v>
      </c>
    </row>
    <row r="3" ht="12.75">
      <c r="A3" s="183"/>
    </row>
    <row r="4" ht="12.75">
      <c r="A4" s="183"/>
    </row>
    <row r="5" ht="12.75">
      <c r="A5" s="183"/>
    </row>
    <row r="6" spans="1:9" ht="12.75">
      <c r="A6" s="183"/>
      <c r="I6" t="s">
        <v>19</v>
      </c>
    </row>
    <row r="7" ht="12.75">
      <c r="A7" s="183"/>
    </row>
    <row r="8" spans="1:9" ht="12.75">
      <c r="A8" s="183"/>
      <c r="I8" t="s">
        <v>20</v>
      </c>
    </row>
    <row r="9" spans="1:9" ht="12.75">
      <c r="A9" s="183"/>
      <c r="I9" t="s">
        <v>21</v>
      </c>
    </row>
    <row r="10" spans="1:9" ht="12.75">
      <c r="A10" s="183"/>
      <c r="I10" t="s">
        <v>22</v>
      </c>
    </row>
    <row r="13" s="2" customFormat="1" ht="12.75">
      <c r="A13" s="2" t="s">
        <v>33</v>
      </c>
    </row>
    <row r="14" spans="1:6" ht="12.75">
      <c r="A14" s="4" t="s">
        <v>16</v>
      </c>
      <c r="B14" s="1">
        <v>5110</v>
      </c>
      <c r="C14" t="s">
        <v>3</v>
      </c>
      <c r="D14" s="4" t="s">
        <v>37</v>
      </c>
      <c r="E14" s="9">
        <v>0</v>
      </c>
      <c r="F14" t="s">
        <v>11</v>
      </c>
    </row>
    <row r="15" spans="1:6" ht="12.75">
      <c r="A15" s="4" t="s">
        <v>15</v>
      </c>
      <c r="B15" s="1">
        <v>5110</v>
      </c>
      <c r="C15" t="s">
        <v>3</v>
      </c>
      <c r="D15" s="4" t="s">
        <v>39</v>
      </c>
      <c r="E15" s="3">
        <f>20*LOG(1+(nInvR2/nInvR1))</f>
        <v>6.020599913279624</v>
      </c>
      <c r="F15" t="s">
        <v>11</v>
      </c>
    </row>
    <row r="16" spans="1:6" ht="12.75">
      <c r="A16" s="4" t="s">
        <v>7</v>
      </c>
      <c r="B16" s="6">
        <v>1.5E-08</v>
      </c>
      <c r="C16" t="s">
        <v>4</v>
      </c>
      <c r="D16" s="4" t="s">
        <v>40</v>
      </c>
      <c r="E16" s="3">
        <f>1/(2*PI()*nInvC*(nInvR1+nInvR2))</f>
        <v>1038.1927142328464</v>
      </c>
      <c r="F16" t="s">
        <v>5</v>
      </c>
    </row>
    <row r="17" spans="4:6" ht="12.75">
      <c r="D17" s="4" t="s">
        <v>41</v>
      </c>
      <c r="E17" s="3">
        <f>1/(2*PI()*nInvC*nInvR1)</f>
        <v>2076.3854284656927</v>
      </c>
      <c r="F17" t="s">
        <v>5</v>
      </c>
    </row>
    <row r="21" s="2" customFormat="1" ht="12.75">
      <c r="A21" s="2" t="s">
        <v>32</v>
      </c>
    </row>
    <row r="22" spans="1:6" ht="12.75">
      <c r="A22" s="4" t="s">
        <v>16</v>
      </c>
      <c r="B22" s="1">
        <v>5110</v>
      </c>
      <c r="C22" t="s">
        <v>3</v>
      </c>
      <c r="D22" s="4" t="s">
        <v>37</v>
      </c>
      <c r="E22" s="3">
        <f>20*LOG(hpInvR2/hpInvR1)</f>
        <v>0</v>
      </c>
      <c r="F22" t="s">
        <v>11</v>
      </c>
    </row>
    <row r="23" spans="1:6" ht="12.75">
      <c r="A23" s="4" t="s">
        <v>15</v>
      </c>
      <c r="B23" s="1">
        <v>5110</v>
      </c>
      <c r="C23" t="s">
        <v>3</v>
      </c>
      <c r="D23" s="4" t="s">
        <v>39</v>
      </c>
      <c r="E23" s="3">
        <f>20*LOG(hpInvR2*((hpInvR1+hpInvR3)/(hpInvR1*hpInvR3)))</f>
        <v>6.020599913279624</v>
      </c>
      <c r="F23" t="s">
        <v>11</v>
      </c>
    </row>
    <row r="24" spans="1:6" ht="12.75">
      <c r="A24" s="4" t="s">
        <v>34</v>
      </c>
      <c r="B24" s="1">
        <v>5110</v>
      </c>
      <c r="C24" t="s">
        <v>3</v>
      </c>
      <c r="D24" s="4" t="s">
        <v>40</v>
      </c>
      <c r="E24" s="3">
        <f>1/(2*PI()*hpInvC*(hpInvR1+hpInvR3))</f>
        <v>1038.1927142328464</v>
      </c>
      <c r="F24" t="s">
        <v>5</v>
      </c>
    </row>
    <row r="25" spans="1:6" ht="12.75">
      <c r="A25" s="4" t="s">
        <v>7</v>
      </c>
      <c r="B25" s="6">
        <v>1.5E-08</v>
      </c>
      <c r="C25" t="s">
        <v>4</v>
      </c>
      <c r="D25" s="4" t="s">
        <v>41</v>
      </c>
      <c r="E25" s="3">
        <f>1/(2*PI()*hpInvC*hpInvR3)</f>
        <v>2076.3854284656927</v>
      </c>
      <c r="F25" t="s">
        <v>5</v>
      </c>
    </row>
    <row r="28" ht="12.75">
      <c r="A28" s="32" t="s">
        <v>287</v>
      </c>
    </row>
    <row r="29" ht="12.75">
      <c r="A29" s="10" t="s">
        <v>290</v>
      </c>
    </row>
    <row r="30" spans="1:3" ht="12.75">
      <c r="A30" t="s">
        <v>288</v>
      </c>
      <c r="B30" s="180">
        <v>1E-10</v>
      </c>
      <c r="C30" t="s">
        <v>4</v>
      </c>
    </row>
    <row r="31" spans="1:3" ht="12.75">
      <c r="A31" t="s">
        <v>289</v>
      </c>
      <c r="B31" s="181">
        <f>1/(2*PI()*nInvR2*B30)</f>
        <v>311457.8142698539</v>
      </c>
      <c r="C31" t="s">
        <v>5</v>
      </c>
    </row>
    <row r="33" ht="12.75">
      <c r="A33" s="10" t="s">
        <v>291</v>
      </c>
    </row>
    <row r="34" spans="1:2" ht="12.75">
      <c r="A34" s="10" t="s">
        <v>288</v>
      </c>
      <c r="B34" s="180">
        <v>1E-10</v>
      </c>
    </row>
    <row r="35" spans="1:3" ht="12.75">
      <c r="A35" s="10" t="s">
        <v>289</v>
      </c>
      <c r="B35" s="181">
        <f>1/(2*PI()*B34*hpInvR2)</f>
        <v>311457.8142698539</v>
      </c>
      <c r="C35" s="10" t="s">
        <v>5</v>
      </c>
    </row>
  </sheetData>
  <sheetProtection/>
  <mergeCells count="1">
    <mergeCell ref="A3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18.8515625" style="0" bestFit="1" customWidth="1"/>
    <col min="3" max="3" width="12.421875" style="0" bestFit="1" customWidth="1"/>
  </cols>
  <sheetData>
    <row r="1" spans="1:9" ht="12.75">
      <c r="A1" s="7" t="s">
        <v>43</v>
      </c>
      <c r="I1" t="s">
        <v>263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10" ht="12.75">
      <c r="A10" s="182"/>
    </row>
    <row r="11" ht="12.75">
      <c r="A11" s="182"/>
    </row>
    <row r="12" ht="12.75">
      <c r="A12" s="182"/>
    </row>
    <row r="13" ht="12.75">
      <c r="A13" s="182"/>
    </row>
    <row r="14" ht="12.75">
      <c r="A14" s="182"/>
    </row>
    <row r="15" ht="12.75">
      <c r="A15" s="182"/>
    </row>
    <row r="17" ht="12.75">
      <c r="A17" t="s">
        <v>257</v>
      </c>
    </row>
    <row r="18" spans="1:4" ht="12.75">
      <c r="A18" t="s">
        <v>278</v>
      </c>
      <c r="D18" t="s">
        <v>265</v>
      </c>
    </row>
    <row r="19" spans="1:6" ht="12.75">
      <c r="A19" s="4" t="s">
        <v>261</v>
      </c>
      <c r="B19" s="176">
        <v>5110</v>
      </c>
      <c r="C19" t="s">
        <v>3</v>
      </c>
      <c r="D19" s="4" t="s">
        <v>34</v>
      </c>
      <c r="E19" s="3">
        <f>B19/((10^(ABS(B20)/20))-1)</f>
        <v>1518.5021061217333</v>
      </c>
      <c r="F19" t="s">
        <v>3</v>
      </c>
    </row>
    <row r="20" spans="1:6" ht="12.75">
      <c r="A20" s="4" t="s">
        <v>260</v>
      </c>
      <c r="B20" s="176">
        <v>-12.8</v>
      </c>
      <c r="C20" t="s">
        <v>11</v>
      </c>
      <c r="D20" s="4" t="s">
        <v>266</v>
      </c>
      <c r="E20" s="3">
        <f>E19*B22/(2*PI()*B21)</f>
        <v>2.4915166627291514</v>
      </c>
      <c r="F20" t="s">
        <v>267</v>
      </c>
    </row>
    <row r="21" spans="1:6" ht="12.75">
      <c r="A21" s="4" t="s">
        <v>258</v>
      </c>
      <c r="B21" s="176">
        <v>291</v>
      </c>
      <c r="C21" t="s">
        <v>5</v>
      </c>
      <c r="D21" s="4" t="s">
        <v>7</v>
      </c>
      <c r="E21" s="3">
        <f>1/(E20*((2*PI()*B21)^2))</f>
        <v>1.200578299847915E-07</v>
      </c>
      <c r="F21" t="s">
        <v>4</v>
      </c>
    </row>
    <row r="22" spans="1:2" ht="12.75">
      <c r="A22" s="4" t="s">
        <v>259</v>
      </c>
      <c r="B22" s="176">
        <v>3</v>
      </c>
    </row>
    <row r="23" spans="1:2" ht="12.75">
      <c r="A23" s="4"/>
      <c r="B23" s="177"/>
    </row>
    <row r="24" spans="1:2" ht="12.75">
      <c r="A24" s="4" t="s">
        <v>276</v>
      </c>
      <c r="B24" s="177"/>
    </row>
    <row r="25" spans="1:4" ht="12.75">
      <c r="A25" s="4" t="s">
        <v>270</v>
      </c>
      <c r="B25" s="1">
        <v>1000</v>
      </c>
      <c r="D25" t="s">
        <v>274</v>
      </c>
    </row>
    <row r="26" spans="1:4" ht="12.75">
      <c r="A26" s="4" t="s">
        <v>275</v>
      </c>
      <c r="B26" s="1">
        <v>147000</v>
      </c>
      <c r="D26" t="s">
        <v>277</v>
      </c>
    </row>
    <row r="27" spans="1:10" ht="12.75">
      <c r="A27" s="4"/>
      <c r="B27" s="4" t="s">
        <v>16</v>
      </c>
      <c r="C27" s="3">
        <f>E19-B25</f>
        <v>518.5021061217333</v>
      </c>
      <c r="J27" t="s">
        <v>268</v>
      </c>
    </row>
    <row r="28" spans="2:10" ht="12.75">
      <c r="B28" s="4" t="s">
        <v>15</v>
      </c>
      <c r="C28" s="3">
        <f>B26</f>
        <v>147000</v>
      </c>
      <c r="J28" t="s">
        <v>269</v>
      </c>
    </row>
    <row r="29" spans="2:3" ht="12.75">
      <c r="B29" s="4" t="s">
        <v>7</v>
      </c>
      <c r="C29" s="3">
        <f>E20/(C27*(C28-C27))</f>
        <v>3.280427914627313E-08</v>
      </c>
    </row>
    <row r="30" ht="12.75">
      <c r="A30" s="4" t="s">
        <v>262</v>
      </c>
    </row>
    <row r="31" spans="1:4" ht="12.75">
      <c r="A31" t="s">
        <v>270</v>
      </c>
      <c r="B31" s="1">
        <v>511</v>
      </c>
      <c r="C31" t="s">
        <v>3</v>
      </c>
      <c r="D31" t="s">
        <v>271</v>
      </c>
    </row>
    <row r="32" spans="1:4" ht="12.75">
      <c r="A32" t="s">
        <v>272</v>
      </c>
      <c r="B32" s="1">
        <v>511</v>
      </c>
      <c r="C32" t="s">
        <v>3</v>
      </c>
      <c r="D32" t="s">
        <v>273</v>
      </c>
    </row>
    <row r="33" spans="1:3" ht="12.75">
      <c r="A33" s="4" t="s">
        <v>262</v>
      </c>
      <c r="B33" s="4" t="s">
        <v>16</v>
      </c>
      <c r="C33" s="3">
        <f>E19-B31-B32</f>
        <v>496.5021061217333</v>
      </c>
    </row>
    <row r="34" spans="2:9" ht="12.75">
      <c r="B34" s="4" t="s">
        <v>15</v>
      </c>
      <c r="C34" s="3">
        <f>B32</f>
        <v>511</v>
      </c>
      <c r="I34" t="s">
        <v>264</v>
      </c>
    </row>
    <row r="35" spans="2:3" ht="12.75">
      <c r="B35" s="4" t="s">
        <v>7</v>
      </c>
      <c r="C35" s="3">
        <f>E20/(C33*C34)</f>
        <v>9.820233193675501E-06</v>
      </c>
    </row>
    <row r="40" ht="12.75">
      <c r="A40" s="182"/>
    </row>
    <row r="41" ht="12.75">
      <c r="A41" s="182"/>
    </row>
    <row r="42" ht="12.75">
      <c r="A42" s="182"/>
    </row>
    <row r="43" ht="12.75">
      <c r="A43" s="182"/>
    </row>
    <row r="44" ht="12.75">
      <c r="A44" s="182"/>
    </row>
    <row r="45" ht="12.75">
      <c r="A45" s="182"/>
    </row>
    <row r="46" ht="12.75">
      <c r="A46" s="182"/>
    </row>
    <row r="47" ht="12.75">
      <c r="A47" s="182"/>
    </row>
    <row r="48" ht="12.75">
      <c r="A48" s="182"/>
    </row>
    <row r="49" ht="12.75">
      <c r="A49" s="182"/>
    </row>
    <row r="50" ht="12.75">
      <c r="A50" s="182"/>
    </row>
    <row r="51" ht="12.75">
      <c r="A51" s="182"/>
    </row>
    <row r="52" ht="12.75">
      <c r="A52" s="182"/>
    </row>
    <row r="53" ht="12.75">
      <c r="A53" s="182"/>
    </row>
    <row r="54" ht="12.75">
      <c r="A54" s="182"/>
    </row>
    <row r="55" ht="12.75">
      <c r="A55" s="182"/>
    </row>
    <row r="56" ht="12.75">
      <c r="A56" s="182"/>
    </row>
    <row r="57" ht="12.75">
      <c r="A57" s="182"/>
    </row>
    <row r="58" ht="12.75">
      <c r="A58" s="182"/>
    </row>
    <row r="59" ht="12.75">
      <c r="A59" s="182"/>
    </row>
    <row r="60" ht="12.75">
      <c r="A60" s="182"/>
    </row>
    <row r="61" ht="12.75">
      <c r="A61" s="182"/>
    </row>
    <row r="62" ht="12.75">
      <c r="A62" s="182"/>
    </row>
    <row r="63" ht="12.75">
      <c r="A63" s="182"/>
    </row>
    <row r="64" ht="12.75">
      <c r="A64" s="182"/>
    </row>
    <row r="65" ht="12.75">
      <c r="A65" s="182"/>
    </row>
    <row r="66" ht="12.75">
      <c r="A66" s="182"/>
    </row>
    <row r="67" ht="12.75">
      <c r="A67" s="182"/>
    </row>
    <row r="68" ht="12.75">
      <c r="A68" s="182"/>
    </row>
    <row r="69" ht="12.75">
      <c r="A69" s="182"/>
    </row>
    <row r="70" ht="12.75">
      <c r="A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</sheetData>
  <sheetProtection/>
  <mergeCells count="2">
    <mergeCell ref="A3:A15"/>
    <mergeCell ref="A40:A7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s="7" t="s">
        <v>44</v>
      </c>
    </row>
    <row r="3" spans="1:9" ht="12.75">
      <c r="A3" s="182"/>
      <c r="I3" s="182"/>
    </row>
    <row r="4" spans="1:9" ht="12.75">
      <c r="A4" s="182"/>
      <c r="I4" s="182"/>
    </row>
    <row r="5" spans="1:9" ht="12.75">
      <c r="A5" s="182"/>
      <c r="I5" s="182"/>
    </row>
    <row r="6" spans="1:9" ht="12.75">
      <c r="A6" s="182"/>
      <c r="I6" s="182"/>
    </row>
    <row r="7" spans="1:9" ht="12.75">
      <c r="A7" s="182"/>
      <c r="I7" s="182"/>
    </row>
    <row r="8" spans="1:9" ht="12.75">
      <c r="A8" s="182"/>
      <c r="I8" s="182"/>
    </row>
    <row r="9" spans="1:9" ht="12.75">
      <c r="A9" s="182"/>
      <c r="I9" s="182"/>
    </row>
    <row r="10" spans="1:9" ht="12.75">
      <c r="A10" s="182"/>
      <c r="I10" s="182"/>
    </row>
    <row r="11" spans="1:9" ht="12.75">
      <c r="A11" s="182"/>
      <c r="I11" s="182"/>
    </row>
    <row r="12" spans="1:9" ht="12.75">
      <c r="A12" s="182"/>
      <c r="I12" s="182"/>
    </row>
    <row r="13" spans="1:9" ht="12.75">
      <c r="A13" s="182"/>
      <c r="I13" s="182"/>
    </row>
    <row r="14" spans="1:9" ht="12.75">
      <c r="A14" s="182"/>
      <c r="I14" s="182"/>
    </row>
    <row r="15" spans="1:9" ht="12.75">
      <c r="A15" s="182"/>
      <c r="I15" s="182"/>
    </row>
    <row r="16" ht="12.75">
      <c r="A16" s="182"/>
    </row>
    <row r="17" ht="12.75">
      <c r="A17" s="182"/>
    </row>
    <row r="18" spans="1:9" ht="12.75">
      <c r="A18" s="182"/>
      <c r="I18" s="10" t="s">
        <v>45</v>
      </c>
    </row>
    <row r="19" spans="1:9" ht="12.75">
      <c r="A19" s="182"/>
      <c r="I19" s="11" t="s">
        <v>46</v>
      </c>
    </row>
    <row r="20" spans="1:9" ht="12.75">
      <c r="A20" s="182"/>
      <c r="I20" s="10" t="s">
        <v>47</v>
      </c>
    </row>
    <row r="23" ht="12.75">
      <c r="A23" t="s">
        <v>48</v>
      </c>
    </row>
    <row r="24" ht="12.75">
      <c r="A24" t="s">
        <v>49</v>
      </c>
    </row>
  </sheetData>
  <sheetProtection/>
  <mergeCells count="2">
    <mergeCell ref="A3:A20"/>
    <mergeCell ref="I3:I15"/>
  </mergeCells>
  <hyperlinks>
    <hyperlink ref="I19" r:id="rId1" display="http://www.linkwitzlab.com/images/graphics/shlv-lp2.gif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s="12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s="2" customFormat="1" ht="12.75">
      <c r="A17" s="174" t="s">
        <v>255</v>
      </c>
    </row>
    <row r="18" ht="12.75">
      <c r="A18" s="12"/>
    </row>
    <row r="19" ht="12.75">
      <c r="A19" s="12"/>
    </row>
    <row r="20" spans="1:11" ht="12.75">
      <c r="A20" s="12"/>
      <c r="B20" s="13" t="s">
        <v>104</v>
      </c>
      <c r="K20" s="14" t="s">
        <v>103</v>
      </c>
    </row>
    <row r="21" spans="1:2" ht="12.75">
      <c r="A21" s="12"/>
      <c r="B21" s="15" t="s">
        <v>87</v>
      </c>
    </row>
    <row r="22" spans="1:2" ht="12.75">
      <c r="A22" s="12"/>
      <c r="B22" s="15" t="s">
        <v>96</v>
      </c>
    </row>
    <row r="23" spans="1:2" ht="12.75">
      <c r="A23" s="12"/>
      <c r="B23" s="13"/>
    </row>
    <row r="24" spans="1:13" ht="12.75">
      <c r="A24" s="12"/>
      <c r="B24" t="s">
        <v>112</v>
      </c>
      <c r="F24" s="16" t="s">
        <v>50</v>
      </c>
      <c r="G24" s="17"/>
      <c r="I24" t="s">
        <v>51</v>
      </c>
      <c r="M24" t="s">
        <v>52</v>
      </c>
    </row>
    <row r="25" spans="1:15" ht="12.75">
      <c r="A25" s="12"/>
      <c r="B25" t="s">
        <v>113</v>
      </c>
      <c r="F25" s="18" t="s">
        <v>74</v>
      </c>
      <c r="G25" s="19">
        <v>72</v>
      </c>
      <c r="H25" t="s">
        <v>95</v>
      </c>
      <c r="I25" s="20" t="s">
        <v>53</v>
      </c>
      <c r="J25" s="21">
        <f>1000000/(2*PI()*J37*SQRT(J40*J42))</f>
        <v>73.41270095716735</v>
      </c>
      <c r="K25" s="22"/>
      <c r="M25" s="20" t="s">
        <v>53</v>
      </c>
      <c r="N25" s="21">
        <f>1000000/(2*PI()*N37*SQRT(N40*N42))</f>
        <v>73.32987841370137</v>
      </c>
      <c r="O25" s="22"/>
    </row>
    <row r="26" spans="1:14" ht="12.75">
      <c r="A26" s="12"/>
      <c r="F26" s="18" t="s">
        <v>75</v>
      </c>
      <c r="G26" s="19">
        <v>2.1</v>
      </c>
      <c r="I26" s="4" t="s">
        <v>54</v>
      </c>
      <c r="J26" s="23">
        <f>J37*(SQRT(J40/J42))/(2*J37+J38)</f>
        <v>1.8720194968118609</v>
      </c>
      <c r="M26" s="4" t="s">
        <v>54</v>
      </c>
      <c r="N26" s="23">
        <f>N37*(SQRT(N40/N42))/(2*N37+N38)</f>
        <v>2.1397134406994103</v>
      </c>
    </row>
    <row r="27" spans="2:14" ht="12.75">
      <c r="B27" s="24" t="s">
        <v>86</v>
      </c>
      <c r="C27" s="24"/>
      <c r="D27" s="24"/>
      <c r="F27" s="18" t="s">
        <v>76</v>
      </c>
      <c r="G27" s="19">
        <v>20</v>
      </c>
      <c r="H27" t="s">
        <v>95</v>
      </c>
      <c r="I27" s="4" t="s">
        <v>55</v>
      </c>
      <c r="J27" s="25">
        <f>1000000/(2*PI()*J39*SQRT(J42*J41))</f>
        <v>21.187460513536355</v>
      </c>
      <c r="M27" s="4" t="s">
        <v>55</v>
      </c>
      <c r="N27" s="25">
        <f>1000000/(2*PI()*N39*SQRT(N42*N41))</f>
        <v>21.163442076594798</v>
      </c>
    </row>
    <row r="28" spans="2:15" ht="12.75">
      <c r="B28" s="26" t="s">
        <v>69</v>
      </c>
      <c r="D28" t="s">
        <v>69</v>
      </c>
      <c r="F28" s="27" t="s">
        <v>77</v>
      </c>
      <c r="G28" s="28">
        <v>0.7</v>
      </c>
      <c r="I28" s="29" t="s">
        <v>56</v>
      </c>
      <c r="J28" s="30">
        <f>(J39*SQRT(J41/J42))/(2*J39+J38)</f>
        <v>0.648007236532329</v>
      </c>
      <c r="K28" s="24"/>
      <c r="M28" s="29" t="s">
        <v>56</v>
      </c>
      <c r="N28" s="30">
        <f>(N39*SQRT(N41/N42))/(2*N39+N38)</f>
        <v>0.7281515922899118</v>
      </c>
      <c r="O28" s="24"/>
    </row>
    <row r="29" spans="2:14" ht="12.75">
      <c r="B29" s="26" t="s">
        <v>70</v>
      </c>
      <c r="C29" s="22"/>
      <c r="D29" t="s">
        <v>71</v>
      </c>
      <c r="F29" s="27" t="s">
        <v>78</v>
      </c>
      <c r="G29" s="31">
        <v>100</v>
      </c>
      <c r="H29" t="s">
        <v>95</v>
      </c>
      <c r="I29" s="4" t="s">
        <v>58</v>
      </c>
      <c r="J29" s="25">
        <f>1000000/(PI()*J40*J37)</f>
        <v>31.83098861837907</v>
      </c>
      <c r="M29" s="4" t="s">
        <v>58</v>
      </c>
      <c r="N29" s="25">
        <f>1000000/(PI()*N40*N37)</f>
        <v>28.3143467518049</v>
      </c>
    </row>
    <row r="30" spans="2:15" ht="12.75">
      <c r="B30" s="32" t="s">
        <v>72</v>
      </c>
      <c r="D30" s="32" t="s">
        <v>73</v>
      </c>
      <c r="I30" s="29" t="s">
        <v>59</v>
      </c>
      <c r="J30" s="33">
        <f>1000000/(PI()*J41*J39)</f>
        <v>32.0812221511581</v>
      </c>
      <c r="K30" s="34" t="s">
        <v>85</v>
      </c>
      <c r="M30" s="29" t="s">
        <v>59</v>
      </c>
      <c r="N30" s="33">
        <f>1000000/(PI()*N41*N39)</f>
        <v>28.568469411576974</v>
      </c>
      <c r="O30" s="34" t="s">
        <v>85</v>
      </c>
    </row>
    <row r="31" spans="9:15" ht="12.75">
      <c r="I31" s="4" t="s">
        <v>60</v>
      </c>
      <c r="J31" s="35">
        <f>40*LOG(J25/J27)</f>
        <v>21.58769186033234</v>
      </c>
      <c r="K31" s="36"/>
      <c r="M31" s="4" t="s">
        <v>60</v>
      </c>
      <c r="N31" s="35">
        <f>40*LOG(N25/N27)</f>
        <v>21.587786441038208</v>
      </c>
      <c r="O31" s="36"/>
    </row>
    <row r="32" spans="2:15" ht="12.75">
      <c r="B32" s="15" t="s">
        <v>110</v>
      </c>
      <c r="I32" s="4"/>
      <c r="J32" s="37"/>
      <c r="K32" s="36"/>
      <c r="M32" s="4"/>
      <c r="N32" s="37"/>
      <c r="O32" s="36"/>
    </row>
    <row r="33" spans="2:10" ht="12.75">
      <c r="B33" s="15" t="s">
        <v>111</v>
      </c>
      <c r="F33" s="26" t="s">
        <v>90</v>
      </c>
      <c r="J33" t="s">
        <v>88</v>
      </c>
    </row>
    <row r="34" spans="5:12" ht="12.75">
      <c r="E34" s="4"/>
      <c r="F34" s="26" t="s">
        <v>92</v>
      </c>
      <c r="G34" s="4"/>
      <c r="H34" s="4"/>
      <c r="J34" t="s">
        <v>89</v>
      </c>
      <c r="L34" s="38"/>
    </row>
    <row r="35" spans="2:7" ht="12.75">
      <c r="B35" s="24" t="s">
        <v>61</v>
      </c>
      <c r="F35" s="24" t="s">
        <v>91</v>
      </c>
      <c r="G35" s="24"/>
    </row>
    <row r="36" spans="2:15" ht="12.75">
      <c r="B36" s="39"/>
      <c r="C36" s="40" t="s">
        <v>84</v>
      </c>
      <c r="D36" s="41">
        <f>((G25/G27)-(G26/G28))/((G26/G28)-(G27/G25))</f>
        <v>0.22040816326530593</v>
      </c>
      <c r="F36" s="42" t="s">
        <v>93</v>
      </c>
      <c r="G36" s="43">
        <v>2.32</v>
      </c>
      <c r="I36" s="16" t="s">
        <v>62</v>
      </c>
      <c r="J36" s="39"/>
      <c r="K36" s="17"/>
      <c r="M36" s="16" t="s">
        <v>63</v>
      </c>
      <c r="N36" s="39"/>
      <c r="O36" s="17"/>
    </row>
    <row r="37" spans="3:15" ht="12.75">
      <c r="C37" s="4" t="s">
        <v>64</v>
      </c>
      <c r="D37" s="44">
        <f>1000000/(2*PI()*G25*G29*(2*G26*(1+D36)))</f>
        <v>4.312541038195481</v>
      </c>
      <c r="F37" s="45" t="s">
        <v>64</v>
      </c>
      <c r="G37" s="44">
        <f>D37*G$36</f>
        <v>10.005095208613515</v>
      </c>
      <c r="I37" s="46" t="s">
        <v>79</v>
      </c>
      <c r="J37" s="47">
        <v>10</v>
      </c>
      <c r="K37" s="48" t="s">
        <v>94</v>
      </c>
      <c r="M37" s="18" t="s">
        <v>79</v>
      </c>
      <c r="N37" s="49">
        <v>5.11</v>
      </c>
      <c r="O37" s="48" t="s">
        <v>94</v>
      </c>
    </row>
    <row r="38" spans="3:15" ht="12.75">
      <c r="C38" s="4" t="s">
        <v>65</v>
      </c>
      <c r="D38" s="44">
        <f>2*D36*D37</f>
        <v>1.901038498469843</v>
      </c>
      <c r="F38" s="45" t="s">
        <v>65</v>
      </c>
      <c r="G38" s="44">
        <f>D38*G$36</f>
        <v>4.4104093164500355</v>
      </c>
      <c r="I38" s="18" t="s">
        <v>80</v>
      </c>
      <c r="J38" s="50">
        <v>4.64</v>
      </c>
      <c r="K38" s="51" t="s">
        <v>94</v>
      </c>
      <c r="M38" s="18" t="s">
        <v>80</v>
      </c>
      <c r="N38" s="52">
        <v>2.15</v>
      </c>
      <c r="O38" s="51" t="s">
        <v>94</v>
      </c>
    </row>
    <row r="39" spans="3:15" ht="12.75">
      <c r="C39" s="4" t="s">
        <v>66</v>
      </c>
      <c r="D39" s="44">
        <f>D37*(G25/G27)^2</f>
        <v>55.890531855013435</v>
      </c>
      <c r="F39" s="45" t="s">
        <v>66</v>
      </c>
      <c r="G39" s="44">
        <f>D39*G$36</f>
        <v>129.66603390363116</v>
      </c>
      <c r="I39" s="18" t="s">
        <v>81</v>
      </c>
      <c r="J39" s="50">
        <v>121</v>
      </c>
      <c r="K39" s="51" t="s">
        <v>94</v>
      </c>
      <c r="M39" s="18" t="s">
        <v>81</v>
      </c>
      <c r="N39" s="52">
        <v>61.9</v>
      </c>
      <c r="O39" s="51" t="s">
        <v>94</v>
      </c>
    </row>
    <row r="40" spans="3:15" ht="12.75">
      <c r="C40" s="4" t="s">
        <v>67</v>
      </c>
      <c r="D40" s="35">
        <f>G29*(2*G26*(1+D36))^2</f>
        <v>2627.29469387755</v>
      </c>
      <c r="F40" s="45" t="s">
        <v>67</v>
      </c>
      <c r="G40" s="35">
        <f>D40/G$36</f>
        <v>1132.4546094299785</v>
      </c>
      <c r="I40" s="18" t="s">
        <v>82</v>
      </c>
      <c r="J40" s="53">
        <v>1000</v>
      </c>
      <c r="K40" s="51" t="s">
        <v>97</v>
      </c>
      <c r="M40" s="18" t="s">
        <v>82</v>
      </c>
      <c r="N40" s="54">
        <v>2200</v>
      </c>
      <c r="O40" s="51" t="s">
        <v>97</v>
      </c>
    </row>
    <row r="41" spans="3:15" ht="12.75">
      <c r="C41" s="4" t="s">
        <v>68</v>
      </c>
      <c r="D41" s="35">
        <f>D40*(G27/G25)^2</f>
        <v>202.72335600907024</v>
      </c>
      <c r="F41" s="45" t="s">
        <v>68</v>
      </c>
      <c r="G41" s="35">
        <f>D41/G$36</f>
        <v>87.38075690046132</v>
      </c>
      <c r="I41" s="18" t="s">
        <v>83</v>
      </c>
      <c r="J41" s="53">
        <v>82</v>
      </c>
      <c r="K41" s="51" t="s">
        <v>97</v>
      </c>
      <c r="M41" s="18" t="s">
        <v>83</v>
      </c>
      <c r="N41" s="54">
        <v>180</v>
      </c>
      <c r="O41" s="51" t="s">
        <v>97</v>
      </c>
    </row>
    <row r="42" spans="2:15" ht="12.75">
      <c r="B42" s="24"/>
      <c r="C42" s="29" t="s">
        <v>57</v>
      </c>
      <c r="D42" s="55">
        <f>G29</f>
        <v>100</v>
      </c>
      <c r="F42" s="29" t="s">
        <v>57</v>
      </c>
      <c r="G42" s="55">
        <f>G29/G$36</f>
        <v>43.10344827586207</v>
      </c>
      <c r="I42" s="27" t="s">
        <v>78</v>
      </c>
      <c r="J42" s="56">
        <v>47</v>
      </c>
      <c r="K42" s="57" t="s">
        <v>97</v>
      </c>
      <c r="M42" s="27" t="s">
        <v>78</v>
      </c>
      <c r="N42" s="58">
        <v>82</v>
      </c>
      <c r="O42" s="57" t="s">
        <v>97</v>
      </c>
    </row>
    <row r="43" spans="3:15" ht="12.75">
      <c r="C43" s="4" t="s">
        <v>60</v>
      </c>
      <c r="D43" s="35">
        <f>40*LOG(G25/G27)</f>
        <v>22.25210003069149</v>
      </c>
      <c r="F43" s="26"/>
      <c r="G43" s="26"/>
      <c r="I43" s="26"/>
      <c r="J43" s="26"/>
      <c r="K43" s="26"/>
      <c r="L43" s="26"/>
      <c r="M43" s="26"/>
      <c r="N43" s="26"/>
      <c r="O43" s="26"/>
    </row>
    <row r="45" ht="12.75">
      <c r="B45" t="s">
        <v>109</v>
      </c>
    </row>
    <row r="48" ht="12.75">
      <c r="B48" t="s">
        <v>106</v>
      </c>
    </row>
    <row r="49" ht="12.75">
      <c r="B49" t="s">
        <v>107</v>
      </c>
    </row>
    <row r="50" ht="12.75">
      <c r="B50" t="s">
        <v>108</v>
      </c>
    </row>
    <row r="52" spans="4:6" ht="12.75">
      <c r="D52" s="59" t="s">
        <v>98</v>
      </c>
      <c r="E52" s="4"/>
      <c r="F52" s="4" t="s">
        <v>100</v>
      </c>
    </row>
    <row r="53" spans="2:8" ht="12.75">
      <c r="B53" s="60" t="s">
        <v>102</v>
      </c>
      <c r="C53" s="60"/>
      <c r="D53" s="59" t="s">
        <v>99</v>
      </c>
      <c r="E53" s="4"/>
      <c r="F53" s="4" t="s">
        <v>101</v>
      </c>
      <c r="H53" s="4" t="s">
        <v>105</v>
      </c>
    </row>
    <row r="54" spans="2:8" ht="12.75">
      <c r="B54" s="29" t="s">
        <v>5</v>
      </c>
      <c r="C54" s="24"/>
      <c r="D54" s="61" t="s">
        <v>11</v>
      </c>
      <c r="E54" s="29"/>
      <c r="F54" s="29" t="s">
        <v>11</v>
      </c>
      <c r="G54" s="29" t="s">
        <v>11</v>
      </c>
      <c r="H54" s="24"/>
    </row>
    <row r="55" spans="2:7" ht="12.75">
      <c r="B55" s="16">
        <v>10</v>
      </c>
      <c r="C55" s="17"/>
      <c r="D55" s="35">
        <f aca="true" t="shared" si="0" ref="D55:D75">(40*LOG(B55/$G$25))-10*LOG(((((B55/$G$25)^2)-1)^2)+((B55/($G$25*$G$26))^2))</f>
        <v>-34.14381753845776</v>
      </c>
      <c r="F55" s="62">
        <f aca="true" t="shared" si="1" ref="F55:F75">40*LOG(B55/$G$27)-10*LOG(((((B55/$G$27)^2)-1)^2)+((B55/($G$27*$G$28))^2))</f>
        <v>-12.345999157693985</v>
      </c>
      <c r="G55" s="62">
        <f aca="true" t="shared" si="2" ref="G55:G75">F55-D55</f>
        <v>21.797818380763776</v>
      </c>
    </row>
    <row r="56" spans="2:8" ht="12.75">
      <c r="B56" s="63">
        <f aca="true" t="shared" si="3" ref="B56:B75">B55*2^(1/3)</f>
        <v>12.599210498948732</v>
      </c>
      <c r="D56" s="35">
        <f t="shared" si="0"/>
        <v>-30.0414100743838</v>
      </c>
      <c r="F56" s="62">
        <f t="shared" si="1"/>
        <v>-8.722993568333079</v>
      </c>
      <c r="G56" s="62">
        <f t="shared" si="2"/>
        <v>21.318416506050724</v>
      </c>
      <c r="H56" s="4"/>
    </row>
    <row r="57" spans="2:7" ht="12.75">
      <c r="B57" s="63">
        <f t="shared" si="3"/>
        <v>15.874010519681995</v>
      </c>
      <c r="D57" s="35">
        <f t="shared" si="0"/>
        <v>-25.885588524685584</v>
      </c>
      <c r="F57" s="62">
        <f t="shared" si="1"/>
        <v>-5.544448172380526</v>
      </c>
      <c r="G57" s="62">
        <f t="shared" si="2"/>
        <v>20.341140352305057</v>
      </c>
    </row>
    <row r="58" spans="2:7" ht="12.75">
      <c r="B58" s="63">
        <f t="shared" si="3"/>
        <v>20</v>
      </c>
      <c r="D58" s="35">
        <f t="shared" si="0"/>
        <v>-21.64294476466125</v>
      </c>
      <c r="F58" s="62">
        <f t="shared" si="1"/>
        <v>-3.0980391997148637</v>
      </c>
      <c r="G58" s="62">
        <f t="shared" si="2"/>
        <v>18.544905564946387</v>
      </c>
    </row>
    <row r="59" spans="2:7" ht="12.75">
      <c r="B59" s="63">
        <f t="shared" si="3"/>
        <v>25.198420997897465</v>
      </c>
      <c r="D59" s="35">
        <f t="shared" si="0"/>
        <v>-17.25734783654154</v>
      </c>
      <c r="F59" s="62">
        <f t="shared" si="1"/>
        <v>-1.5307148968607773</v>
      </c>
      <c r="G59" s="62">
        <f t="shared" si="2"/>
        <v>15.726632939680764</v>
      </c>
    </row>
    <row r="60" spans="2:7" ht="12.75">
      <c r="B60" s="63">
        <f t="shared" si="3"/>
        <v>31.74802103936399</v>
      </c>
      <c r="D60" s="35">
        <f t="shared" si="0"/>
        <v>-12.632143365774008</v>
      </c>
      <c r="F60" s="62">
        <f t="shared" si="1"/>
        <v>-0.6955270172935819</v>
      </c>
      <c r="G60" s="62">
        <f t="shared" si="2"/>
        <v>11.936616348480426</v>
      </c>
    </row>
    <row r="61" spans="2:7" ht="12.75">
      <c r="B61" s="63">
        <f t="shared" si="3"/>
        <v>40</v>
      </c>
      <c r="D61" s="35">
        <f t="shared" si="0"/>
        <v>-7.598410655073876</v>
      </c>
      <c r="F61" s="62">
        <f t="shared" si="1"/>
        <v>-0.30479933113473656</v>
      </c>
      <c r="G61" s="62">
        <f t="shared" si="2"/>
        <v>7.29361132393914</v>
      </c>
    </row>
    <row r="62" spans="2:7" ht="12.75">
      <c r="B62" s="63">
        <f t="shared" si="3"/>
        <v>50.39684199579493</v>
      </c>
      <c r="D62" s="35">
        <f t="shared" si="0"/>
        <v>-1.8939464605676752</v>
      </c>
      <c r="F62" s="62">
        <f t="shared" si="1"/>
        <v>-0.13356090516202457</v>
      </c>
      <c r="G62" s="62">
        <f t="shared" si="2"/>
        <v>1.7603855554056507</v>
      </c>
    </row>
    <row r="63" spans="2:7" ht="12.75">
      <c r="B63" s="63">
        <f t="shared" si="3"/>
        <v>63.49604207872798</v>
      </c>
      <c r="D63" s="35">
        <f t="shared" si="0"/>
        <v>4.280093105636595</v>
      </c>
      <c r="F63" s="62">
        <f t="shared" si="1"/>
        <v>-0.059919643237098086</v>
      </c>
      <c r="G63" s="62">
        <f t="shared" si="2"/>
        <v>-4.3400127488736935</v>
      </c>
    </row>
    <row r="64" spans="2:7" ht="12.75">
      <c r="B64" s="63">
        <f t="shared" si="3"/>
        <v>80</v>
      </c>
      <c r="D64" s="35">
        <f t="shared" si="0"/>
        <v>6.580247359067675</v>
      </c>
      <c r="F64" s="62">
        <f t="shared" si="1"/>
        <v>-0.027953414503357976</v>
      </c>
      <c r="G64" s="62">
        <f t="shared" si="2"/>
        <v>-6.608200773571033</v>
      </c>
    </row>
    <row r="65" spans="2:7" ht="12.75">
      <c r="B65" s="63">
        <f t="shared" si="3"/>
        <v>100.79368399158986</v>
      </c>
      <c r="D65" s="35">
        <f t="shared" si="0"/>
        <v>4.491061056184483</v>
      </c>
      <c r="F65" s="62">
        <f t="shared" si="1"/>
        <v>-0.013690112444745495</v>
      </c>
      <c r="G65" s="62">
        <f t="shared" si="2"/>
        <v>-4.5047511686292285</v>
      </c>
    </row>
    <row r="66" spans="2:7" ht="12.75">
      <c r="B66" s="63">
        <f t="shared" si="3"/>
        <v>126.99208415745596</v>
      </c>
      <c r="D66" s="35">
        <f t="shared" si="0"/>
        <v>2.730099197494302</v>
      </c>
      <c r="F66" s="62">
        <f t="shared" si="1"/>
        <v>-0.007062696162741133</v>
      </c>
      <c r="G66" s="62">
        <f t="shared" si="2"/>
        <v>-2.737161893657043</v>
      </c>
    </row>
    <row r="67" spans="2:7" ht="12.75">
      <c r="B67" s="63">
        <f t="shared" si="3"/>
        <v>160</v>
      </c>
      <c r="D67" s="35">
        <f t="shared" si="0"/>
        <v>1.6626363132548292</v>
      </c>
      <c r="F67" s="62">
        <f t="shared" si="1"/>
        <v>-0.003828336629837281</v>
      </c>
      <c r="G67" s="62">
        <f t="shared" si="2"/>
        <v>-1.6664646498846665</v>
      </c>
    </row>
    <row r="68" spans="2:7" ht="12.75">
      <c r="B68" s="63">
        <f t="shared" si="3"/>
        <v>201.58736798317972</v>
      </c>
      <c r="D68" s="35">
        <f t="shared" si="0"/>
        <v>1.0233657941123084</v>
      </c>
      <c r="F68" s="62">
        <f t="shared" si="1"/>
        <v>-0.0021650601670302194</v>
      </c>
      <c r="G68" s="62">
        <f t="shared" si="2"/>
        <v>-1.0255308542793387</v>
      </c>
    </row>
    <row r="69" spans="2:7" ht="12.75">
      <c r="B69" s="63">
        <f t="shared" si="3"/>
        <v>253.98416831491193</v>
      </c>
      <c r="D69" s="35">
        <f t="shared" si="0"/>
        <v>0.6350815408495265</v>
      </c>
      <c r="F69" s="62">
        <f t="shared" si="1"/>
        <v>-0.0012659707105768803</v>
      </c>
      <c r="G69" s="62">
        <f t="shared" si="2"/>
        <v>-0.6363475115601034</v>
      </c>
    </row>
    <row r="70" spans="2:7" ht="12.75">
      <c r="B70" s="63">
        <f t="shared" si="3"/>
        <v>320</v>
      </c>
      <c r="D70" s="35">
        <f t="shared" si="0"/>
        <v>0.39627945319497826</v>
      </c>
      <c r="F70" s="62">
        <f t="shared" si="1"/>
        <v>-0.0007586356189861476</v>
      </c>
      <c r="G70" s="62">
        <f t="shared" si="2"/>
        <v>-0.3970380888139644</v>
      </c>
    </row>
    <row r="71" spans="2:7" ht="12.75">
      <c r="B71" s="63">
        <f t="shared" si="3"/>
        <v>403.17473596635944</v>
      </c>
      <c r="D71" s="35">
        <f t="shared" si="0"/>
        <v>0.24814007212935607</v>
      </c>
      <c r="F71" s="62">
        <f t="shared" si="1"/>
        <v>-0.0004624798416372755</v>
      </c>
      <c r="G71" s="62">
        <f t="shared" si="2"/>
        <v>-0.24860255197099335</v>
      </c>
    </row>
    <row r="72" spans="2:7" ht="12.75">
      <c r="B72" s="63">
        <f t="shared" si="3"/>
        <v>507.96833662982385</v>
      </c>
      <c r="D72" s="35">
        <f t="shared" si="0"/>
        <v>0.15572509398910483</v>
      </c>
      <c r="F72" s="62">
        <f t="shared" si="1"/>
        <v>-0.0002852197396876477</v>
      </c>
      <c r="G72" s="62">
        <f t="shared" si="2"/>
        <v>-0.15601031372879248</v>
      </c>
    </row>
    <row r="73" spans="2:7" ht="12.75">
      <c r="B73" s="63">
        <f t="shared" si="3"/>
        <v>640</v>
      </c>
      <c r="D73" s="35">
        <f t="shared" si="0"/>
        <v>0.09786576458390783</v>
      </c>
      <c r="F73" s="62">
        <f t="shared" si="1"/>
        <v>-0.00017724658895446055</v>
      </c>
      <c r="G73" s="62">
        <f t="shared" si="2"/>
        <v>-0.0980430111728623</v>
      </c>
    </row>
    <row r="74" spans="2:7" ht="12.75">
      <c r="B74" s="63">
        <f t="shared" si="3"/>
        <v>806.3494719327189</v>
      </c>
      <c r="D74" s="35">
        <f t="shared" si="0"/>
        <v>0.06155850256304518</v>
      </c>
      <c r="F74" s="62">
        <f t="shared" si="1"/>
        <v>-0.00011069373650229863</v>
      </c>
      <c r="G74" s="62">
        <f t="shared" si="2"/>
        <v>-0.06166919629954748</v>
      </c>
    </row>
    <row r="75" spans="2:7" ht="12.75">
      <c r="B75" s="63">
        <f t="shared" si="3"/>
        <v>1015.9366732596477</v>
      </c>
      <c r="D75" s="35">
        <f t="shared" si="0"/>
        <v>0.038742533060244</v>
      </c>
      <c r="F75" s="62">
        <f t="shared" si="1"/>
        <v>-6.934986613771343E-05</v>
      </c>
      <c r="G75" s="62">
        <f t="shared" si="2"/>
        <v>-0.03881188292638171</v>
      </c>
    </row>
    <row r="76" spans="2:7" ht="12.75">
      <c r="B76" s="63"/>
      <c r="D76" s="37"/>
      <c r="F76" s="62"/>
      <c r="G76" s="62"/>
    </row>
    <row r="77" spans="2:7" ht="12.75">
      <c r="B77" s="63"/>
      <c r="D77" s="37"/>
      <c r="F77" s="62"/>
      <c r="G77" s="62"/>
    </row>
    <row r="78" spans="2:7" ht="12.75">
      <c r="B78" s="63"/>
      <c r="D78" s="37"/>
      <c r="F78" s="62"/>
      <c r="G78" s="6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U687007</dc:creator>
  <cp:keywords/>
  <dc:description/>
  <cp:lastModifiedBy>Siegfried Linkwitz</cp:lastModifiedBy>
  <dcterms:created xsi:type="dcterms:W3CDTF">2007-03-02T09:47:25Z</dcterms:created>
  <dcterms:modified xsi:type="dcterms:W3CDTF">2007-03-06T18:01:16Z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